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340" activeTab="0"/>
  </bookViews>
  <sheets>
    <sheet name="202ช่อง" sheetId="1" r:id="rId1"/>
    <sheet name="อธิบา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<sst xmlns="http://schemas.openxmlformats.org/spreadsheetml/2006/main" count="3303" uniqueCount="523">
  <si>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</si>
  <si>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</si>
  <si>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</si>
  <si>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</si>
  <si>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</si>
  <si>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</si>
  <si>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</si>
  <si>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</si>
  <si>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</si>
  <si>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</si>
  <si>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</si>
  <si>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</si>
  <si>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</si>
  <si>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</si>
  <si>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</si>
  <si>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</si>
  <si>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</si>
  <si>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</si>
  <si>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</si>
  <si>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</si>
  <si>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</si>
  <si>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</si>
  <si>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</si>
  <si>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</si>
  <si>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</si>
  <si>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</si>
  <si>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</si>
  <si>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</si>
  <si>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</si>
  <si>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</si>
  <si>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</si>
  <si>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</si>
  <si>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</si>
  <si>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</si>
  <si>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</si>
  <si>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</si>
  <si>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</si>
  <si>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</si>
  <si>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</si>
  <si>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</si>
  <si>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</si>
  <si>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</si>
  <si>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</si>
  <si>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</si>
  <si>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</si>
  <si>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</si>
  <si>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</si>
  <si>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</si>
  <si>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</si>
  <si>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</si>
  <si>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</si>
  <si>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</si>
  <si>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</si>
  <si>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</si>
  <si>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</si>
  <si>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</si>
  <si>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</si>
  <si>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</si>
  <si>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</si>
  <si>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</si>
  <si>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</si>
  <si>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</si>
  <si>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</si>
  <si>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</si>
  <si>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</si>
  <si>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</si>
  <si>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</si>
  <si>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</si>
  <si>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</si>
  <si>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</si>
  <si>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</si>
  <si>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</si>
  <si>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</si>
  <si>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</si>
  <si>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</si>
  <si>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</si>
  <si>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</si>
  <si>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</si>
  <si>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</si>
  <si>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</si>
  <si>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</si>
  <si>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</si>
  <si>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</si>
  <si>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</si>
  <si>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</si>
  <si>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</si>
  <si>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</si>
  <si>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</si>
  <si>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</si>
  <si>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</si>
  <si>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</si>
  <si>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</si>
  <si>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</si>
  <si>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</si>
  <si>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</si>
  <si>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</si>
  <si>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</si>
  <si>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</si>
  <si>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</si>
  <si>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</si>
  <si>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</si>
  <si>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</si>
  <si>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</si>
  <si>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</si>
  <si>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</si>
  <si>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</si>
  <si>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</si>
  <si>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</si>
  <si>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</si>
  <si>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</si>
  <si>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</si>
  <si>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</si>
  <si>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</si>
  <si>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</si>
  <si>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</si>
  <si>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</si>
  <si>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</si>
  <si>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</si>
  <si>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</si>
  <si>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</si>
  <si>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</si>
  <si>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</si>
  <si>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</si>
  <si>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</si>
  <si>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</si>
  <si>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</si>
  <si>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</si>
  <si>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</si>
  <si>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</si>
  <si>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</si>
  <si>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</si>
  <si>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</si>
  <si>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</si>
  <si>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</si>
  <si>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</si>
  <si>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</si>
  <si>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</si>
  <si>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</si>
  <si>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</si>
  <si>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</si>
  <si>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</si>
  <si>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</si>
  <si>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</si>
  <si>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</si>
  <si>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</si>
  <si>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</si>
  <si>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</si>
  <si>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</si>
  <si>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</si>
  <si>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</si>
  <si>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</si>
  <si>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</si>
  <si>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</si>
  <si>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</si>
  <si>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</si>
  <si>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</si>
  <si>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</si>
  <si>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</si>
  <si>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</si>
  <si>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</si>
  <si>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</si>
  <si>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</si>
  <si>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</si>
  <si>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</si>
  <si>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</si>
  <si>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</si>
  <si>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</si>
  <si>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</si>
  <si>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</si>
  <si>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</si>
  <si>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</si>
  <si>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</si>
  <si>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</si>
  <si>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</si>
  <si>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</si>
  <si>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</si>
  <si>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เขื่อนลำนางรอง</t>
  </si>
  <si>
    <t>โนนดินแดง</t>
  </si>
  <si>
    <t>บุรีรัมย์</t>
  </si>
  <si>
    <t>มูล</t>
  </si>
  <si>
    <t>ใหญ่</t>
  </si>
  <si>
    <t>ดิน</t>
  </si>
  <si>
    <t>ลาดยาง</t>
  </si>
  <si>
    <t xml:space="preserve"> 1:3</t>
  </si>
  <si>
    <t xml:space="preserve"> 1:2.5</t>
  </si>
  <si>
    <t>-</t>
  </si>
  <si>
    <t>อ่างฯคลองมะนาว</t>
  </si>
  <si>
    <t>กลาง</t>
  </si>
  <si>
    <t>ลูกรัง</t>
  </si>
  <si>
    <t>อ่างฯลำปะเทีย</t>
  </si>
  <si>
    <t>หงอนไก่</t>
  </si>
  <si>
    <t>หนองแวง</t>
  </si>
  <si>
    <t>ละหานทราย</t>
  </si>
  <si>
    <t>อ่างฯลำจังหัน</t>
  </si>
  <si>
    <t>โคกไม้แดง</t>
  </si>
  <si>
    <t>สำโรงใหม่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</si>
  <si>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</si>
  <si>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</si>
  <si>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</si>
  <si>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</si>
  <si>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</si>
  <si>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</si>
  <si>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</si>
  <si>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</si>
  <si>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</si>
  <si>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</si>
  <si>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</si>
  <si>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</si>
  <si>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</si>
  <si>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</si>
  <si>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</si>
  <si>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</si>
  <si>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</si>
  <si>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</si>
  <si>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</si>
  <si>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</si>
  <si>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</si>
  <si>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</si>
  <si>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</si>
  <si>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</si>
  <si>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</si>
  <si>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</si>
  <si>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</si>
  <si>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</si>
  <si>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</si>
  <si>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</si>
  <si>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</si>
  <si>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</si>
  <si>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</si>
  <si>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</si>
  <si>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</si>
  <si>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</si>
  <si>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</si>
  <si>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</si>
  <si>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</si>
  <si>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</si>
  <si>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</si>
  <si>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</si>
  <si>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</si>
  <si>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</si>
  <si>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</si>
  <si>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</si>
  <si>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</si>
  <si>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</si>
  <si>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</si>
  <si>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</si>
  <si>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</si>
  <si>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</si>
  <si>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</si>
  <si>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</si>
  <si>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</si>
  <si>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</si>
  <si>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</si>
  <si>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</si>
  <si>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</si>
  <si>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</si>
  <si>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r>
      <t>W</t>
    </r>
    <r>
      <rPr>
        <vertAlign val="subscript"/>
        <sz val="14"/>
        <rFont val="CordiaUPC"/>
        <family val="2"/>
      </rPr>
      <t>C</t>
    </r>
  </si>
  <si>
    <t>ความกว้างของขอบคอนกรีตดาด,ม.</t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</si>
  <si>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</si>
  <si>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t>ความกว้างของชานคลองฝั่งซ้าย-ฝั่งขวา,ม.</t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</si>
  <si>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</si>
  <si>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t>ความกว้างของคันคลองฝั่งซ้าย-ฝั่งขวา,ม.</t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</si>
  <si>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</si>
  <si>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</si>
  <si>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</si>
  <si>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</si>
  <si>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</si>
  <si>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</si>
  <si>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มิติและอาคาร</t>
  </si>
  <si>
    <t>ให้กรอกทุกช่วงที่มีการเปลี่ยนแปลงความกว้างของคัน (ตามข้อ 4)</t>
  </si>
  <si>
    <t>หินทิ้ง</t>
  </si>
  <si>
    <t>ปลูกหญ้า</t>
  </si>
  <si>
    <t>รูปเกือกม้า</t>
  </si>
  <si>
    <t>1*1</t>
  </si>
  <si>
    <t>1.5*1.5</t>
  </si>
  <si>
    <t>ท่อกลม</t>
  </si>
  <si>
    <t>ท่อสี่เหลี่ยม</t>
  </si>
  <si>
    <t>ที่สี่เหลี่ยม</t>
  </si>
  <si>
    <t>ท่อ Asbestes Cement</t>
  </si>
  <si>
    <t>0.6,0.3</t>
  </si>
  <si>
    <t>2*2.4</t>
  </si>
  <si>
    <t>ฝายเปิดน้ำล้น</t>
  </si>
  <si>
    <t>LMC</t>
  </si>
  <si>
    <t>RMC</t>
  </si>
  <si>
    <t>C</t>
  </si>
  <si>
    <t>CA</t>
  </si>
  <si>
    <t>0+000</t>
  </si>
  <si>
    <t>1+100</t>
  </si>
  <si>
    <t>1+553</t>
  </si>
  <si>
    <t xml:space="preserve"> 1:1.5</t>
  </si>
  <si>
    <t>3+403</t>
  </si>
  <si>
    <t>3+550</t>
  </si>
  <si>
    <t>4+215</t>
  </si>
  <si>
    <t>9+300</t>
  </si>
  <si>
    <t>9+890</t>
  </si>
  <si>
    <t>10+290</t>
  </si>
  <si>
    <t>13+750</t>
  </si>
  <si>
    <t>17+600</t>
  </si>
  <si>
    <t>19+000</t>
  </si>
  <si>
    <t>19+635</t>
  </si>
  <si>
    <t>1:8,000</t>
  </si>
  <si>
    <t xml:space="preserve"> 1:8,000</t>
  </si>
  <si>
    <t>1R-LMC</t>
  </si>
  <si>
    <t>2+280</t>
  </si>
  <si>
    <t>5+400</t>
  </si>
  <si>
    <t>3+812</t>
  </si>
  <si>
    <t>2+650</t>
  </si>
  <si>
    <t>6+700</t>
  </si>
  <si>
    <t>6+850</t>
  </si>
  <si>
    <t>5+000</t>
  </si>
  <si>
    <t>6+600</t>
  </si>
  <si>
    <t>8+200</t>
  </si>
  <si>
    <t>9+550</t>
  </si>
  <si>
    <t>10+120</t>
  </si>
  <si>
    <t>3+030</t>
  </si>
  <si>
    <t>6+050</t>
  </si>
  <si>
    <t>7+400</t>
  </si>
  <si>
    <t>7+800</t>
  </si>
  <si>
    <t>1+050</t>
  </si>
  <si>
    <t>1+850</t>
  </si>
  <si>
    <t>2+170</t>
  </si>
  <si>
    <t>2+300</t>
  </si>
  <si>
    <t>3+630</t>
  </si>
  <si>
    <t>4+740</t>
  </si>
  <si>
    <t>1:6,000</t>
  </si>
  <si>
    <t>2R – LMC</t>
  </si>
  <si>
    <t>3R – LMC</t>
  </si>
  <si>
    <t>1L-RMC</t>
  </si>
  <si>
    <t>1L-1L-RMC</t>
  </si>
  <si>
    <t>2L-RMC</t>
  </si>
  <si>
    <t>0+212.000</t>
  </si>
  <si>
    <t>2+150.000</t>
  </si>
  <si>
    <t>3+300.000</t>
  </si>
  <si>
    <t>3+500.000</t>
  </si>
  <si>
    <t>4+000.000</t>
  </si>
  <si>
    <t>4+600.000</t>
  </si>
  <si>
    <t>5+200.000</t>
  </si>
  <si>
    <t>5+234.273</t>
  </si>
  <si>
    <t>0+160</t>
  </si>
  <si>
    <t>0+150</t>
  </si>
  <si>
    <t>0+880</t>
  </si>
  <si>
    <t>1+600</t>
  </si>
  <si>
    <t>3+500</t>
  </si>
  <si>
    <t>4+315</t>
  </si>
  <si>
    <t>5+280</t>
  </si>
  <si>
    <t>7+000</t>
  </si>
  <si>
    <t>9+560</t>
  </si>
  <si>
    <t>10+500</t>
  </si>
  <si>
    <t>12+950</t>
  </si>
  <si>
    <t>14+000</t>
  </si>
  <si>
    <t>15+800</t>
  </si>
  <si>
    <t>16+960</t>
  </si>
  <si>
    <t>17+370</t>
  </si>
  <si>
    <t>17+500</t>
  </si>
  <si>
    <t>17+850</t>
  </si>
  <si>
    <t>18+679.945</t>
  </si>
  <si>
    <t>19+970.949</t>
  </si>
  <si>
    <t>0+000.000</t>
  </si>
  <si>
    <t>2+600.000</t>
  </si>
  <si>
    <t>0+300.000</t>
  </si>
  <si>
    <t>1+685009</t>
  </si>
  <si>
    <t>1+685.009</t>
  </si>
  <si>
    <t>2+380.000</t>
  </si>
  <si>
    <t>2+240.000</t>
  </si>
  <si>
    <t>3+400.000</t>
  </si>
  <si>
    <t>3+650.000</t>
  </si>
  <si>
    <t>0+270.000</t>
  </si>
  <si>
    <t>0+630.000</t>
  </si>
  <si>
    <t>0+860.000</t>
  </si>
  <si>
    <t>1+350.000</t>
  </si>
  <si>
    <t>3+000.000</t>
  </si>
  <si>
    <t>0+450.000</t>
  </si>
  <si>
    <t>1+915.000</t>
  </si>
  <si>
    <t>3+600.000</t>
  </si>
  <si>
    <t>1+700.000</t>
  </si>
  <si>
    <t>2+350.000</t>
  </si>
  <si>
    <t>1:5,000</t>
  </si>
  <si>
    <t>1:5,001</t>
  </si>
  <si>
    <t>1R - LMC</t>
  </si>
  <si>
    <t>1L - RMC</t>
  </si>
  <si>
    <t>2L - RMC</t>
  </si>
  <si>
    <t>3L - RMC</t>
  </si>
  <si>
    <t>4L - RMC</t>
  </si>
  <si>
    <t>5L - RMC</t>
  </si>
  <si>
    <t>1R - 5L - RMC</t>
  </si>
  <si>
    <t>สะพานน้ำ</t>
  </si>
  <si>
    <t>ขนาดท่อ(f)</t>
  </si>
  <si>
    <r>
      <t>W</t>
    </r>
    <r>
      <rPr>
        <vertAlign val="subscript"/>
        <sz val="14"/>
        <rFont val="Angsana New"/>
        <family val="1"/>
      </rPr>
      <t>C</t>
    </r>
  </si>
  <si>
    <r>
      <t>B</t>
    </r>
    <r>
      <rPr>
        <vertAlign val="subscript"/>
        <sz val="14"/>
        <rFont val="Angsana New"/>
        <family val="1"/>
      </rPr>
      <t>L</t>
    </r>
  </si>
  <si>
    <r>
      <t>B</t>
    </r>
    <r>
      <rPr>
        <vertAlign val="subscript"/>
        <sz val="14"/>
        <rFont val="Angsana New"/>
        <family val="1"/>
      </rPr>
      <t>R</t>
    </r>
  </si>
  <si>
    <r>
      <t>T</t>
    </r>
    <r>
      <rPr>
        <vertAlign val="subscript"/>
        <sz val="14"/>
        <rFont val="Angsana New"/>
        <family val="1"/>
      </rPr>
      <t>L</t>
    </r>
  </si>
  <si>
    <r>
      <t>T</t>
    </r>
    <r>
      <rPr>
        <vertAlign val="subscript"/>
        <sz val="14"/>
        <rFont val="Angsana New"/>
        <family val="1"/>
      </rPr>
      <t>R</t>
    </r>
  </si>
  <si>
    <r>
      <t>R</t>
    </r>
    <r>
      <rPr>
        <vertAlign val="subscript"/>
        <sz val="14"/>
        <rFont val="Angsana New"/>
        <family val="1"/>
      </rPr>
      <t>L</t>
    </r>
  </si>
  <si>
    <r>
      <t>R</t>
    </r>
    <r>
      <rPr>
        <vertAlign val="subscript"/>
        <sz val="14"/>
        <rFont val="Angsana New"/>
        <family val="1"/>
      </rPr>
      <t>R</t>
    </r>
  </si>
  <si>
    <t>ขนาดท่อ f</t>
  </si>
  <si>
    <t>ขนาดท่อส่ง(f)</t>
  </si>
  <si>
    <r>
      <t>(ม.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/วิ)</t>
    </r>
  </si>
  <si>
    <r>
      <t>(ม</t>
    </r>
    <r>
      <rPr>
        <vertAlign val="superscript"/>
        <sz val="14"/>
        <rFont val="Angsana New"/>
        <family val="1"/>
      </rPr>
      <t>2</t>
    </r>
    <r>
      <rPr>
        <sz val="14"/>
        <rFont val="Angsana New"/>
        <family val="1"/>
      </rPr>
      <t>)</t>
    </r>
  </si>
  <si>
    <t>3+810</t>
  </si>
  <si>
    <t>1.1.5</t>
  </si>
  <si>
    <t>_</t>
  </si>
  <si>
    <t>F4</t>
  </si>
  <si>
    <t>10+610</t>
  </si>
  <si>
    <t>F4 F6</t>
  </si>
  <si>
    <t>16+030</t>
  </si>
  <si>
    <t>F6</t>
  </si>
  <si>
    <t>26+350</t>
  </si>
  <si>
    <t xml:space="preserve">      28+086.809</t>
  </si>
  <si>
    <t>1.736.809</t>
  </si>
  <si>
    <t>3.664.809</t>
  </si>
  <si>
    <t>31+750</t>
  </si>
  <si>
    <t>34+500</t>
  </si>
  <si>
    <t>37+800</t>
  </si>
  <si>
    <t>40+950</t>
  </si>
  <si>
    <t>44+480</t>
  </si>
  <si>
    <t>46+740</t>
  </si>
  <si>
    <t>49+422</t>
  </si>
  <si>
    <t>51+280</t>
  </si>
  <si>
    <t>51+400</t>
  </si>
  <si>
    <t>0+740</t>
  </si>
  <si>
    <t>0+840</t>
  </si>
  <si>
    <t>222.6.50</t>
  </si>
  <si>
    <t>5+150</t>
  </si>
  <si>
    <t>5+300</t>
  </si>
  <si>
    <t>3L-RMC</t>
  </si>
  <si>
    <t>3+250</t>
  </si>
  <si>
    <t>4+350</t>
  </si>
  <si>
    <t>6+500</t>
  </si>
  <si>
    <t>8+450</t>
  </si>
  <si>
    <t>12+300</t>
  </si>
  <si>
    <t>13+300</t>
  </si>
  <si>
    <t>13+500</t>
  </si>
  <si>
    <t>1R-3L-RMC</t>
  </si>
  <si>
    <t>2+850</t>
  </si>
  <si>
    <t>3+800</t>
  </si>
  <si>
    <t>5+360</t>
  </si>
  <si>
    <t>6+750</t>
  </si>
  <si>
    <t>1L-3L-RMC</t>
  </si>
  <si>
    <t>1+540</t>
  </si>
  <si>
    <t>2+200</t>
  </si>
  <si>
    <t>2+420</t>
  </si>
  <si>
    <t>4L-RMC</t>
  </si>
  <si>
    <t>3+050</t>
  </si>
  <si>
    <t>4+000</t>
  </si>
  <si>
    <t>4+080</t>
  </si>
  <si>
    <t>5L-RMC</t>
  </si>
  <si>
    <t>1+950</t>
  </si>
  <si>
    <t>2+640</t>
  </si>
  <si>
    <t>6L-RMC</t>
  </si>
  <si>
    <t>2+900</t>
  </si>
  <si>
    <t>5+550</t>
  </si>
  <si>
    <t>5+900</t>
  </si>
  <si>
    <t>7L-RMC</t>
  </si>
  <si>
    <t>1+681</t>
  </si>
  <si>
    <t>3+950</t>
  </si>
  <si>
    <t>4+500</t>
  </si>
  <si>
    <t>4+970</t>
  </si>
  <si>
    <t>8L-RMC</t>
  </si>
  <si>
    <t>2+450</t>
  </si>
  <si>
    <t>4+190</t>
  </si>
  <si>
    <t xml:space="preserve">       28+086.809 </t>
  </si>
  <si>
    <t>2+100</t>
  </si>
  <si>
    <t>2+780</t>
  </si>
  <si>
    <t>4+460</t>
  </si>
  <si>
    <t>4+640</t>
  </si>
  <si>
    <t>6+160</t>
  </si>
  <si>
    <t>11+050</t>
  </si>
  <si>
    <t>13+280</t>
  </si>
  <si>
    <t>13+380</t>
  </si>
  <si>
    <t>14+180</t>
  </si>
  <si>
    <t>18+000</t>
  </si>
  <si>
    <t>18+040</t>
  </si>
  <si>
    <t>18+600</t>
  </si>
  <si>
    <t>21+000</t>
  </si>
  <si>
    <t>21+200</t>
  </si>
  <si>
    <t>23+220</t>
  </si>
  <si>
    <t>26+500</t>
  </si>
  <si>
    <t>26+800</t>
  </si>
  <si>
    <t>29+000</t>
  </si>
  <si>
    <t>30+300</t>
  </si>
  <si>
    <t>31+300</t>
  </si>
  <si>
    <t>33+800</t>
  </si>
  <si>
    <t>35+117</t>
  </si>
  <si>
    <t>36+850</t>
  </si>
  <si>
    <t>37+300</t>
  </si>
  <si>
    <t>38+000</t>
  </si>
  <si>
    <t>38+880</t>
  </si>
  <si>
    <t>39+376</t>
  </si>
  <si>
    <t>3+560</t>
  </si>
  <si>
    <t>4+750</t>
  </si>
  <si>
    <t>4+850</t>
  </si>
  <si>
    <t>1+250</t>
  </si>
  <si>
    <t>1+300</t>
  </si>
  <si>
    <t>1+708</t>
  </si>
  <si>
    <t>1+700</t>
  </si>
  <si>
    <t>2+050</t>
  </si>
  <si>
    <t>2+600</t>
  </si>
  <si>
    <t>2+800</t>
  </si>
  <si>
    <t>1+650</t>
  </si>
  <si>
    <t>1+750</t>
  </si>
  <si>
    <t>0+900</t>
  </si>
  <si>
    <t>1+550</t>
  </si>
  <si>
    <t>2+090</t>
  </si>
  <si>
    <t>1+500</t>
  </si>
  <si>
    <t>0+600</t>
  </si>
  <si>
    <t>1+230</t>
  </si>
  <si>
    <t>0+750</t>
  </si>
  <si>
    <t>1+520</t>
  </si>
  <si>
    <t>0+650</t>
  </si>
  <si>
    <t>2+020</t>
  </si>
  <si>
    <t xml:space="preserve">  1:8,000</t>
  </si>
  <si>
    <t xml:space="preserve">  1:6,000</t>
  </si>
  <si>
    <t>1:3,000</t>
  </si>
  <si>
    <t>1L - LMC</t>
  </si>
  <si>
    <t>2L - LMC</t>
  </si>
  <si>
    <t>3L - LMC</t>
  </si>
  <si>
    <t>2R - LMC</t>
  </si>
  <si>
    <t>3R-LMC</t>
  </si>
  <si>
    <t>4R - LMC</t>
  </si>
  <si>
    <t>5R -LMC</t>
  </si>
  <si>
    <t>6R - LMC</t>
  </si>
  <si>
    <t>7R-  LMC</t>
  </si>
  <si>
    <t>8R - LMC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</si>
</sst>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0"/>
    <numFmt numFmtId="189" formatCode="0.000"/>
    <numFmt numFmtId="190" formatCode="_-* #,##0.000_-;\-* #,##0.000_-;_-* &quot;-&quot;??_-;_-@_-"/>
    <numFmt numFmtId="191" formatCode="\(General\)"/>
    <numFmt numFmtId="192" formatCode="\+000.00"/>
    <numFmt numFmtId="193" formatCode="0.0"/>
    <numFmt numFmtId="194" formatCode="0.0000"/>
  </numFmts>
  <fonts count="20">
    <font>
      <sz val="10"/>
      <name val="Arial"/>
      <family val="0"/>
    </font>
    <font>
      <sz val="14"/>
      <name val="CordiaUPC"/>
      <family val="2"/>
    </font>
    <font>
      <b/>
      <sz val="18"/>
      <name val="CordiaUPC"/>
      <family val="2"/>
    </font>
    <font>
      <sz val="14"/>
      <name val="AngsanaUPC"/>
      <family val="0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8"/>
      <name val="Arial"/>
      <family val="0"/>
    </font>
    <font>
      <sz val="14"/>
      <name val="Angsana New"/>
      <family val="1"/>
    </font>
    <font>
      <sz val="14"/>
      <color indexed="18"/>
      <name val="Angsana New"/>
      <family val="1"/>
    </font>
    <font>
      <sz val="10"/>
      <color indexed="18"/>
      <name val="Angsana New"/>
      <family val="1"/>
    </font>
    <font>
      <vertAlign val="subscript"/>
      <sz val="14"/>
      <name val="Angsana New"/>
      <family val="1"/>
    </font>
    <font>
      <vertAlign val="superscript"/>
      <sz val="14"/>
      <name val="Angsana New"/>
      <family val="1"/>
    </font>
    <font>
      <sz val="16"/>
      <color indexed="12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sz val="14"/>
      <name val="Browallia New"/>
      <family val="2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15" applyFont="1" applyAlignment="1">
      <alignment vertical="top"/>
      <protection/>
    </xf>
    <xf numFmtId="0" fontId="5" fillId="0" borderId="0" xfId="15" applyFont="1" applyAlignment="1">
      <alignment vertical="top"/>
      <protection/>
    </xf>
    <xf numFmtId="0" fontId="6" fillId="0" borderId="0" xfId="15" applyFont="1" applyAlignment="1">
      <alignment vertical="top"/>
      <protection/>
    </xf>
    <xf numFmtId="0" fontId="4" fillId="0" borderId="0" xfId="15" applyFont="1" applyAlignment="1">
      <alignment vertical="top" wrapText="1"/>
      <protection/>
    </xf>
    <xf numFmtId="0" fontId="4" fillId="0" borderId="0" xfId="15" applyFont="1" applyAlignment="1" quotePrefix="1">
      <alignment vertical="top"/>
      <protection/>
    </xf>
    <xf numFmtId="0" fontId="4" fillId="0" borderId="0" xfId="15" applyFont="1" applyAlignment="1" quotePrefix="1">
      <alignment horizontal="left" vertical="top"/>
      <protection/>
    </xf>
    <xf numFmtId="0" fontId="4" fillId="0" borderId="0" xfId="15" applyFont="1" applyAlignment="1" quotePrefix="1">
      <alignment vertical="top" wrapText="1"/>
      <protection/>
    </xf>
    <xf numFmtId="0" fontId="4" fillId="0" borderId="0" xfId="15" applyFont="1" applyAlignment="1">
      <alignment horizontal="left" vertical="top"/>
      <protection/>
    </xf>
    <xf numFmtId="0" fontId="7" fillId="0" borderId="0" xfId="15" applyFont="1" applyAlignment="1">
      <alignment vertical="top"/>
      <protection/>
    </xf>
    <xf numFmtId="0" fontId="7" fillId="0" borderId="0" xfId="15" applyFont="1" applyAlignment="1" quotePrefix="1">
      <alignment horizontal="left" vertical="top"/>
      <protection/>
    </xf>
    <xf numFmtId="0" fontId="7" fillId="0" borderId="0" xfId="15" applyFont="1" applyAlignment="1">
      <alignment vertical="top" wrapText="1"/>
      <protection/>
    </xf>
    <xf numFmtId="0" fontId="4" fillId="0" borderId="0" xfId="15" applyFont="1" applyAlignment="1">
      <alignment horizontal="left" vertical="top" wrapText="1"/>
      <protection/>
    </xf>
    <xf numFmtId="0" fontId="4" fillId="0" borderId="0" xfId="15" applyFont="1" applyAlignment="1">
      <alignment horizontal="justify" vertical="top" wrapText="1"/>
      <protection/>
    </xf>
    <xf numFmtId="0" fontId="4" fillId="0" borderId="0" xfId="15" applyFont="1" applyAlignment="1" quotePrefix="1">
      <alignment horizontal="justify" vertical="top" wrapText="1"/>
      <protection/>
    </xf>
    <xf numFmtId="0" fontId="4" fillId="0" borderId="0" xfId="15" applyFont="1" applyAlignment="1" quotePrefix="1">
      <alignment horizontal="left" vertical="top" wrapText="1"/>
      <protection/>
    </xf>
    <xf numFmtId="188" fontId="1" fillId="0" borderId="0" xfId="16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8" fillId="0" borderId="0" xfId="15" applyFont="1" applyAlignment="1">
      <alignment vertical="top" wrapText="1"/>
      <protection/>
    </xf>
    <xf numFmtId="187" fontId="11" fillId="0" borderId="0" xfId="16" applyNumberFormat="1" applyFont="1" applyFill="1" applyAlignment="1" applyProtection="1" quotePrefix="1">
      <alignment vertical="center"/>
      <protection/>
    </xf>
    <xf numFmtId="0" fontId="12" fillId="0" borderId="0" xfId="0" applyFont="1" applyFill="1" applyAlignment="1" applyProtection="1">
      <alignment horizontal="center" vertical="center" wrapText="1"/>
      <protection hidden="1"/>
    </xf>
    <xf numFmtId="188" fontId="12" fillId="0" borderId="0" xfId="0" applyNumberFormat="1" applyFont="1" applyFill="1" applyAlignment="1" applyProtection="1">
      <alignment horizontal="center" vertical="center"/>
      <protection hidden="1"/>
    </xf>
    <xf numFmtId="188" fontId="12" fillId="0" borderId="0" xfId="0" applyNumberFormat="1" applyFont="1" applyFill="1" applyAlignment="1" applyProtection="1">
      <alignment horizontal="center" vertical="center" wrapText="1"/>
      <protection hidden="1"/>
    </xf>
    <xf numFmtId="187" fontId="12" fillId="0" borderId="0" xfId="16" applyNumberFormat="1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187" fontId="11" fillId="0" borderId="1" xfId="16" applyNumberFormat="1" applyFont="1" applyFill="1" applyBorder="1" applyAlignment="1">
      <alignment horizontal="center" vertical="center" wrapText="1"/>
    </xf>
    <xf numFmtId="187" fontId="11" fillId="0" borderId="2" xfId="16" applyNumberFormat="1" applyFont="1" applyFill="1" applyBorder="1" applyAlignment="1">
      <alignment horizontal="center" vertical="center" wrapText="1"/>
    </xf>
    <xf numFmtId="188" fontId="11" fillId="0" borderId="1" xfId="16" applyNumberFormat="1" applyFont="1" applyFill="1" applyBorder="1" applyAlignment="1" applyProtection="1">
      <alignment horizontal="center" vertical="center"/>
      <protection/>
    </xf>
    <xf numFmtId="187" fontId="11" fillId="0" borderId="2" xfId="16" applyNumberFormat="1" applyFont="1" applyFill="1" applyBorder="1" applyAlignment="1">
      <alignment horizontal="center" vertical="center"/>
    </xf>
    <xf numFmtId="187" fontId="11" fillId="0" borderId="1" xfId="16" applyNumberFormat="1" applyFont="1" applyFill="1" applyBorder="1" applyAlignment="1" applyProtection="1" quotePrefix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187" fontId="11" fillId="0" borderId="3" xfId="16" applyNumberFormat="1" applyFont="1" applyFill="1" applyBorder="1" applyAlignment="1">
      <alignment horizontal="center" vertical="center"/>
    </xf>
    <xf numFmtId="187" fontId="11" fillId="0" borderId="4" xfId="16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88" fontId="11" fillId="0" borderId="3" xfId="16" applyNumberFormat="1" applyFont="1" applyFill="1" applyBorder="1" applyAlignment="1" applyProtection="1">
      <alignment horizontal="center" vertical="center"/>
      <protection/>
    </xf>
    <xf numFmtId="187" fontId="11" fillId="0" borderId="0" xfId="16" applyNumberFormat="1" applyFont="1" applyFill="1" applyBorder="1" applyAlignment="1">
      <alignment horizontal="center" vertical="center"/>
    </xf>
    <xf numFmtId="187" fontId="11" fillId="0" borderId="3" xfId="16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189" fontId="11" fillId="0" borderId="1" xfId="16" applyNumberFormat="1" applyFont="1" applyFill="1" applyBorder="1" applyAlignment="1" applyProtection="1">
      <alignment horizontal="center" vertical="center"/>
      <protection/>
    </xf>
    <xf numFmtId="190" fontId="11" fillId="0" borderId="1" xfId="16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190" fontId="11" fillId="0" borderId="3" xfId="16" applyNumberFormat="1" applyFont="1" applyFill="1" applyBorder="1" applyAlignment="1" applyProtection="1">
      <alignment horizontal="center" vertical="center"/>
      <protection/>
    </xf>
    <xf numFmtId="187" fontId="11" fillId="0" borderId="3" xfId="16" applyNumberFormat="1" applyFont="1" applyFill="1" applyBorder="1" applyAlignment="1">
      <alignment horizontal="center" vertical="center" wrapText="1"/>
    </xf>
    <xf numFmtId="187" fontId="11" fillId="0" borderId="4" xfId="16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188" fontId="11" fillId="0" borderId="3" xfId="16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1" fillId="0" borderId="8" xfId="0" applyFont="1" applyFill="1" applyBorder="1" applyAlignment="1" applyProtection="1">
      <alignment horizontal="center" vertical="center"/>
      <protection hidden="1"/>
    </xf>
    <xf numFmtId="189" fontId="11" fillId="0" borderId="3" xfId="16" applyNumberFormat="1" applyFont="1" applyFill="1" applyBorder="1" applyAlignment="1" applyProtection="1">
      <alignment horizontal="center" vertical="center"/>
      <protection/>
    </xf>
    <xf numFmtId="190" fontId="11" fillId="0" borderId="3" xfId="16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87" fontId="11" fillId="0" borderId="1" xfId="16" applyNumberFormat="1" applyFont="1" applyFill="1" applyBorder="1" applyAlignment="1" applyProtection="1">
      <alignment horizontal="center" vertical="center"/>
      <protection/>
    </xf>
    <xf numFmtId="189" fontId="11" fillId="0" borderId="3" xfId="16" applyNumberFormat="1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1" fillId="0" borderId="1" xfId="16" applyNumberFormat="1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 vertical="center"/>
      <protection hidden="1"/>
    </xf>
    <xf numFmtId="0" fontId="13" fillId="0" borderId="4" xfId="0" applyFont="1" applyFill="1" applyBorder="1" applyAlignment="1" applyProtection="1">
      <alignment horizontal="center" vertical="center"/>
      <protection hidden="1"/>
    </xf>
    <xf numFmtId="187" fontId="11" fillId="0" borderId="13" xfId="16" applyNumberFormat="1" applyFont="1" applyFill="1" applyBorder="1" applyAlignment="1">
      <alignment horizontal="center" vertical="center" wrapText="1"/>
    </xf>
    <xf numFmtId="187" fontId="11" fillId="0" borderId="10" xfId="16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188" fontId="11" fillId="0" borderId="13" xfId="16" applyNumberFormat="1" applyFont="1" applyFill="1" applyBorder="1" applyAlignment="1">
      <alignment horizontal="center" vertical="center"/>
    </xf>
    <xf numFmtId="187" fontId="11" fillId="0" borderId="10" xfId="16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/>
      <protection/>
    </xf>
    <xf numFmtId="0" fontId="11" fillId="2" borderId="14" xfId="0" applyNumberFormat="1" applyFont="1" applyFill="1" applyBorder="1" applyAlignment="1" applyProtection="1">
      <alignment horizontal="center" vertical="center"/>
      <protection/>
    </xf>
    <xf numFmtId="0" fontId="11" fillId="2" borderId="6" xfId="0" applyNumberFormat="1" applyFont="1" applyFill="1" applyBorder="1" applyAlignment="1" applyProtection="1">
      <alignment horizontal="center" vertical="center"/>
      <protection/>
    </xf>
    <xf numFmtId="0" fontId="11" fillId="3" borderId="5" xfId="0" applyFont="1" applyFill="1" applyBorder="1" applyAlignment="1" applyProtection="1">
      <alignment horizontal="center" vertical="center"/>
      <protection hidden="1"/>
    </xf>
    <xf numFmtId="0" fontId="11" fillId="3" borderId="14" xfId="0" applyFont="1" applyFill="1" applyBorder="1" applyAlignment="1" applyProtection="1">
      <alignment horizontal="center" vertical="center"/>
      <protection hidden="1"/>
    </xf>
    <xf numFmtId="189" fontId="11" fillId="0" borderId="13" xfId="16" applyNumberFormat="1" applyFont="1" applyFill="1" applyBorder="1" applyAlignment="1">
      <alignment horizontal="center" vertical="center"/>
    </xf>
    <xf numFmtId="190" fontId="11" fillId="0" borderId="13" xfId="16" applyNumberFormat="1" applyFont="1" applyFill="1" applyBorder="1" applyAlignment="1" applyProtection="1">
      <alignment horizontal="center" vertical="center"/>
      <protection/>
    </xf>
    <xf numFmtId="188" fontId="11" fillId="0" borderId="13" xfId="16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 hidden="1"/>
    </xf>
    <xf numFmtId="187" fontId="11" fillId="0" borderId="13" xfId="16" applyNumberFormat="1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/>
      <protection hidden="1"/>
    </xf>
    <xf numFmtId="191" fontId="16" fillId="0" borderId="15" xfId="16" applyNumberFormat="1" applyFont="1" applyFill="1" applyBorder="1" applyAlignment="1" applyProtection="1">
      <alignment horizontal="center" vertical="center" wrapText="1"/>
      <protection hidden="1"/>
    </xf>
    <xf numFmtId="191" fontId="16" fillId="0" borderId="15" xfId="16" applyNumberFormat="1" applyFont="1" applyFill="1" applyBorder="1" applyAlignment="1" applyProtection="1">
      <alignment horizontal="center" vertical="center"/>
      <protection hidden="1"/>
    </xf>
    <xf numFmtId="0" fontId="16" fillId="0" borderId="0" xfId="16" applyNumberFormat="1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vertical="center" wrapText="1"/>
      <protection hidden="1"/>
    </xf>
    <xf numFmtId="188" fontId="11" fillId="0" borderId="3" xfId="0" applyNumberFormat="1" applyFont="1" applyFill="1" applyBorder="1" applyAlignment="1" applyProtection="1">
      <alignment horizontal="center" vertical="center"/>
      <protection hidden="1"/>
    </xf>
    <xf numFmtId="187" fontId="11" fillId="0" borderId="3" xfId="16" applyNumberFormat="1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20" fontId="11" fillId="0" borderId="3" xfId="0" applyNumberFormat="1" applyFont="1" applyFill="1" applyBorder="1" applyAlignment="1" applyProtection="1">
      <alignment horizontal="center" vertical="center"/>
      <protection hidden="1"/>
    </xf>
    <xf numFmtId="192" fontId="11" fillId="0" borderId="3" xfId="0" applyNumberFormat="1" applyFont="1" applyFill="1" applyBorder="1" applyAlignment="1" applyProtection="1">
      <alignment horizontal="center" vertical="center"/>
      <protection hidden="1"/>
    </xf>
    <xf numFmtId="189" fontId="11" fillId="0" borderId="3" xfId="0" applyNumberFormat="1" applyFont="1" applyFill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47" fontId="11" fillId="0" borderId="3" xfId="0" applyNumberFormat="1" applyFont="1" applyFill="1" applyBorder="1" applyAlignment="1" applyProtection="1">
      <alignment horizontal="center" vertical="center"/>
      <protection hidden="1"/>
    </xf>
    <xf numFmtId="2" fontId="11" fillId="0" borderId="3" xfId="0" applyNumberFormat="1" applyFont="1" applyFill="1" applyBorder="1" applyAlignment="1" applyProtection="1">
      <alignment horizontal="center" vertical="center"/>
      <protection hidden="1"/>
    </xf>
    <xf numFmtId="43" fontId="11" fillId="0" borderId="3" xfId="16" applyFont="1" applyFill="1" applyBorder="1" applyAlignment="1" applyProtection="1">
      <alignment horizontal="center" vertical="center"/>
      <protection hidden="1"/>
    </xf>
    <xf numFmtId="188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188" fontId="11" fillId="0" borderId="13" xfId="0" applyNumberFormat="1" applyFont="1" applyFill="1" applyBorder="1" applyAlignment="1" applyProtection="1">
      <alignment horizontal="center" vertical="center"/>
      <protection hidden="1"/>
    </xf>
    <xf numFmtId="188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187" fontId="11" fillId="0" borderId="13" xfId="16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188" fontId="11" fillId="0" borderId="0" xfId="0" applyNumberFormat="1" applyFont="1" applyFill="1" applyBorder="1" applyAlignment="1" applyProtection="1">
      <alignment horizontal="center" vertical="center"/>
      <protection hidden="1"/>
    </xf>
    <xf numFmtId="188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87" fontId="11" fillId="0" borderId="0" xfId="16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188" fontId="11" fillId="0" borderId="5" xfId="16" applyNumberFormat="1" applyFont="1" applyFill="1" applyBorder="1" applyAlignment="1" applyProtection="1">
      <alignment horizontal="center" vertical="center"/>
      <protection/>
    </xf>
    <xf numFmtId="188" fontId="11" fillId="0" borderId="6" xfId="16" applyNumberFormat="1" applyFont="1" applyFill="1" applyBorder="1" applyAlignment="1" applyProtection="1">
      <alignment horizontal="center" vertical="center"/>
      <protection/>
    </xf>
    <xf numFmtId="0" fontId="11" fillId="4" borderId="5" xfId="0" applyNumberFormat="1" applyFont="1" applyFill="1" applyBorder="1" applyAlignment="1" applyProtection="1">
      <alignment horizontal="center" vertical="center"/>
      <protection/>
    </xf>
    <xf numFmtId="0" fontId="11" fillId="4" borderId="14" xfId="0" applyNumberFormat="1" applyFont="1" applyFill="1" applyBorder="1" applyAlignment="1" applyProtection="1">
      <alignment horizontal="center" vertical="center"/>
      <protection/>
    </xf>
    <xf numFmtId="0" fontId="11" fillId="4" borderId="6" xfId="0" applyNumberFormat="1" applyFont="1" applyFill="1" applyBorder="1" applyAlignment="1" applyProtection="1">
      <alignment horizontal="center" vertical="center"/>
      <protection/>
    </xf>
    <xf numFmtId="0" fontId="11" fillId="5" borderId="5" xfId="0" applyNumberFormat="1" applyFont="1" applyFill="1" applyBorder="1" applyAlignment="1" applyProtection="1">
      <alignment horizontal="center" vertical="center"/>
      <protection/>
    </xf>
    <xf numFmtId="0" fontId="11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6" xfId="0" applyNumberFormat="1" applyFont="1" applyFill="1" applyBorder="1" applyAlignment="1" applyProtection="1">
      <alignment horizontal="center" vertical="center"/>
      <protection/>
    </xf>
    <xf numFmtId="0" fontId="11" fillId="6" borderId="5" xfId="0" applyNumberFormat="1" applyFont="1" applyFill="1" applyBorder="1" applyAlignment="1" applyProtection="1">
      <alignment horizontal="center" vertical="center"/>
      <protection/>
    </xf>
    <xf numFmtId="0" fontId="11" fillId="6" borderId="14" xfId="0" applyNumberFormat="1" applyFont="1" applyFill="1" applyBorder="1" applyAlignment="1" applyProtection="1">
      <alignment horizontal="center" vertical="center"/>
      <protection/>
    </xf>
    <xf numFmtId="0" fontId="11" fillId="6" borderId="6" xfId="0" applyNumberFormat="1" applyFont="1" applyFill="1" applyBorder="1" applyAlignment="1" applyProtection="1">
      <alignment horizontal="center" vertical="center"/>
      <protection/>
    </xf>
    <xf numFmtId="0" fontId="11" fillId="7" borderId="5" xfId="0" applyNumberFormat="1" applyFont="1" applyFill="1" applyBorder="1" applyAlignment="1" applyProtection="1">
      <alignment horizontal="center" vertical="center"/>
      <protection/>
    </xf>
    <xf numFmtId="0" fontId="11" fillId="7" borderId="14" xfId="0" applyNumberFormat="1" applyFont="1" applyFill="1" applyBorder="1" applyAlignment="1" applyProtection="1">
      <alignment horizontal="center" vertical="center"/>
      <protection/>
    </xf>
    <xf numFmtId="0" fontId="11" fillId="7" borderId="6" xfId="0" applyNumberFormat="1" applyFont="1" applyFill="1" applyBorder="1" applyAlignment="1" applyProtection="1">
      <alignment horizontal="center" vertical="center"/>
      <protection/>
    </xf>
    <xf numFmtId="0" fontId="11" fillId="8" borderId="5" xfId="0" applyNumberFormat="1" applyFont="1" applyFill="1" applyBorder="1" applyAlignment="1" applyProtection="1">
      <alignment horizontal="center" vertical="center"/>
      <protection/>
    </xf>
    <xf numFmtId="0" fontId="11" fillId="8" borderId="14" xfId="0" applyNumberFormat="1" applyFont="1" applyFill="1" applyBorder="1" applyAlignment="1" applyProtection="1">
      <alignment horizontal="center" vertical="center"/>
      <protection/>
    </xf>
    <xf numFmtId="0" fontId="11" fillId="8" borderId="6" xfId="0" applyNumberFormat="1" applyFont="1" applyFill="1" applyBorder="1" applyAlignment="1" applyProtection="1">
      <alignment horizontal="center" vertical="center"/>
      <protection/>
    </xf>
    <xf numFmtId="0" fontId="11" fillId="3" borderId="6" xfId="0" applyFont="1" applyFill="1" applyBorder="1" applyAlignment="1" applyProtection="1">
      <alignment horizontal="center" vertical="center"/>
      <protection hidden="1"/>
    </xf>
    <xf numFmtId="0" fontId="11" fillId="9" borderId="5" xfId="0" applyNumberFormat="1" applyFont="1" applyFill="1" applyBorder="1" applyAlignment="1" applyProtection="1">
      <alignment horizontal="center" vertical="center"/>
      <protection/>
    </xf>
    <xf numFmtId="0" fontId="11" fillId="9" borderId="14" xfId="0" applyNumberFormat="1" applyFont="1" applyFill="1" applyBorder="1" applyAlignment="1" applyProtection="1">
      <alignment horizontal="center" vertical="center"/>
      <protection/>
    </xf>
    <xf numFmtId="0" fontId="11" fillId="9" borderId="6" xfId="0" applyNumberFormat="1" applyFont="1" applyFill="1" applyBorder="1" applyAlignment="1" applyProtection="1">
      <alignment horizontal="center" vertical="center"/>
      <protection/>
    </xf>
    <xf numFmtId="188" fontId="11" fillId="10" borderId="5" xfId="16" applyNumberFormat="1" applyFont="1" applyFill="1" applyBorder="1" applyAlignment="1" applyProtection="1">
      <alignment horizontal="center" vertical="center"/>
      <protection/>
    </xf>
    <xf numFmtId="188" fontId="11" fillId="10" borderId="14" xfId="16" applyNumberFormat="1" applyFont="1" applyFill="1" applyBorder="1" applyAlignment="1" applyProtection="1">
      <alignment horizontal="center" vertical="center"/>
      <protection/>
    </xf>
    <xf numFmtId="188" fontId="11" fillId="10" borderId="6" xfId="16" applyNumberFormat="1" applyFont="1" applyFill="1" applyBorder="1" applyAlignment="1" applyProtection="1">
      <alignment horizontal="center" vertical="center"/>
      <protection/>
    </xf>
    <xf numFmtId="188" fontId="11" fillId="11" borderId="5" xfId="16" applyNumberFormat="1" applyFont="1" applyFill="1" applyBorder="1" applyAlignment="1" applyProtection="1">
      <alignment horizontal="center" vertical="center"/>
      <protection/>
    </xf>
    <xf numFmtId="188" fontId="11" fillId="11" borderId="14" xfId="16" applyNumberFormat="1" applyFont="1" applyFill="1" applyBorder="1" applyAlignment="1" applyProtection="1">
      <alignment horizontal="center" vertical="center"/>
      <protection/>
    </xf>
    <xf numFmtId="188" fontId="11" fillId="11" borderId="6" xfId="16" applyNumberFormat="1" applyFont="1" applyFill="1" applyBorder="1" applyAlignment="1" applyProtection="1">
      <alignment horizontal="center" vertical="center"/>
      <protection/>
    </xf>
    <xf numFmtId="0" fontId="12" fillId="7" borderId="5" xfId="0" applyFont="1" applyFill="1" applyBorder="1" applyAlignment="1" applyProtection="1">
      <alignment horizontal="center" vertical="center"/>
      <protection hidden="1"/>
    </xf>
    <xf numFmtId="0" fontId="12" fillId="7" borderId="14" xfId="0" applyFont="1" applyFill="1" applyBorder="1" applyAlignment="1" applyProtection="1">
      <alignment horizontal="center" vertical="center"/>
      <protection hidden="1"/>
    </xf>
    <xf numFmtId="0" fontId="12" fillId="7" borderId="6" xfId="0" applyFont="1" applyFill="1" applyBorder="1" applyAlignment="1" applyProtection="1">
      <alignment horizontal="center" vertical="center"/>
      <protection hidden="1"/>
    </xf>
    <xf numFmtId="188" fontId="11" fillId="0" borderId="14" xfId="16" applyNumberFormat="1" applyFont="1" applyFill="1" applyBorder="1" applyAlignment="1" applyProtection="1">
      <alignment horizontal="center" vertical="center"/>
      <protection/>
    </xf>
    <xf numFmtId="187" fontId="11" fillId="0" borderId="5" xfId="16" applyNumberFormat="1" applyFont="1" applyFill="1" applyBorder="1" applyAlignment="1" applyProtection="1">
      <alignment horizontal="center" vertical="center"/>
      <protection/>
    </xf>
    <xf numFmtId="187" fontId="11" fillId="0" borderId="14" xfId="16" applyNumberFormat="1" applyFont="1" applyFill="1" applyBorder="1" applyAlignment="1" applyProtection="1">
      <alignment horizontal="center" vertical="center"/>
      <protection/>
    </xf>
    <xf numFmtId="187" fontId="11" fillId="0" borderId="6" xfId="16" applyNumberFormat="1" applyFont="1" applyFill="1" applyBorder="1" applyAlignment="1" applyProtection="1">
      <alignment horizontal="center" vertical="center"/>
      <protection/>
    </xf>
    <xf numFmtId="190" fontId="11" fillId="0" borderId="5" xfId="16" applyNumberFormat="1" applyFont="1" applyFill="1" applyBorder="1" applyAlignment="1" applyProtection="1">
      <alignment horizontal="center" vertical="center"/>
      <protection/>
    </xf>
    <xf numFmtId="190" fontId="11" fillId="0" borderId="14" xfId="16" applyNumberFormat="1" applyFont="1" applyFill="1" applyBorder="1" applyAlignment="1" applyProtection="1">
      <alignment horizontal="center" vertical="center"/>
      <protection/>
    </xf>
    <xf numFmtId="190" fontId="11" fillId="0" borderId="6" xfId="16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11" fillId="0" borderId="8" xfId="0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" fillId="0" borderId="0" xfId="15" applyFont="1" applyAlignment="1">
      <alignment horizontal="center" vertical="top"/>
      <protection/>
    </xf>
    <xf numFmtId="0" fontId="1" fillId="0" borderId="3" xfId="0" applyFont="1" applyFill="1" applyBorder="1" applyAlignment="1" applyProtection="1">
      <alignment horizontal="center" vertical="center"/>
      <protection hidden="1"/>
    </xf>
    <xf numFmtId="189" fontId="1" fillId="0" borderId="3" xfId="0" applyNumberFormat="1" applyFont="1" applyFill="1" applyBorder="1" applyAlignment="1" applyProtection="1">
      <alignment horizontal="center" vertical="center"/>
      <protection hidden="1"/>
    </xf>
    <xf numFmtId="47" fontId="1" fillId="0" borderId="3" xfId="0" applyNumberFormat="1" applyFont="1" applyFill="1" applyBorder="1" applyAlignment="1" applyProtection="1">
      <alignment horizontal="center" vertical="center"/>
      <protection hidden="1"/>
    </xf>
    <xf numFmtId="2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 horizontal="center" vertical="center"/>
      <protection hidden="1"/>
    </xf>
    <xf numFmtId="189" fontId="11" fillId="0" borderId="0" xfId="0" applyNumberFormat="1" applyFont="1" applyFill="1" applyBorder="1" applyAlignment="1" applyProtection="1">
      <alignment horizontal="center" vertical="center"/>
      <protection hidden="1"/>
    </xf>
    <xf numFmtId="43" fontId="11" fillId="0" borderId="0" xfId="16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189" fontId="19" fillId="0" borderId="3" xfId="0" applyNumberFormat="1" applyFont="1" applyBorder="1" applyAlignment="1">
      <alignment horizontal="center"/>
    </xf>
    <xf numFmtId="2" fontId="19" fillId="0" borderId="3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43" fontId="19" fillId="0" borderId="3" xfId="16" applyFont="1" applyBorder="1" applyAlignment="1">
      <alignment horizontal="left"/>
    </xf>
    <xf numFmtId="1" fontId="19" fillId="0" borderId="3" xfId="0" applyNumberFormat="1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189" fontId="11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189" fontId="11" fillId="0" borderId="3" xfId="0" applyNumberFormat="1" applyFont="1" applyBorder="1" applyAlignment="1">
      <alignment/>
    </xf>
    <xf numFmtId="2" fontId="11" fillId="0" borderId="3" xfId="0" applyNumberFormat="1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3" fontId="11" fillId="0" borderId="3" xfId="16" applyFont="1" applyBorder="1" applyAlignment="1">
      <alignment horizontal="left"/>
    </xf>
    <xf numFmtId="1" fontId="11" fillId="0" borderId="3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/>
    </xf>
    <xf numFmtId="194" fontId="11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43" fontId="19" fillId="0" borderId="1" xfId="16" applyFont="1" applyBorder="1" applyAlignment="1">
      <alignment horizontal="left"/>
    </xf>
    <xf numFmtId="2" fontId="19" fillId="0" borderId="1" xfId="0" applyNumberFormat="1" applyFont="1" applyBorder="1" applyAlignment="1">
      <alignment horizontal="center"/>
    </xf>
  </cellXfs>
  <cellStyles count="7">
    <cellStyle name="Normal" xfId="0"/>
    <cellStyle name="Normal_A Descript_Data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202"/>
  <sheetViews>
    <sheetView tabSelected="1" workbookViewId="0" topLeftCell="B2">
      <pane xSplit="1" ySplit="7" topLeftCell="C9" activePane="bottomRight" state="frozen"/>
      <selection pane="topLeft" activeCell="B2" sqref="B2"/>
      <selection pane="topRight" activeCell="C2" sqref="C2"/>
      <selection pane="bottomLeft" activeCell="B9" sqref="B9"/>
      <selection pane="bottomRight" activeCell="D9" sqref="D9"/>
    </sheetView>
  </sheetViews>
  <sheetFormatPr defaultColWidth="9.140625" defaultRowHeight="12.75"/>
  <cols>
    <col min="1" max="1" width="15.00390625" style="110" customWidth="1"/>
    <col min="2" max="2" width="15.28125" style="110" customWidth="1"/>
    <col min="3" max="4" width="8.7109375" style="111" customWidth="1"/>
    <col min="5" max="5" width="10.7109375" style="112" customWidth="1"/>
    <col min="6" max="6" width="9.57421875" style="113" bestFit="1" customWidth="1"/>
    <col min="7" max="7" width="5.7109375" style="101" customWidth="1"/>
    <col min="8" max="8" width="6.8515625" style="101" customWidth="1"/>
    <col min="9" max="9" width="7.00390625" style="101" customWidth="1"/>
    <col min="10" max="10" width="17.57421875" style="101" customWidth="1"/>
    <col min="11" max="11" width="12.28125" style="113" customWidth="1"/>
    <col min="12" max="12" width="12.28125" style="113" bestFit="1" customWidth="1"/>
    <col min="13" max="13" width="11.00390625" style="101" customWidth="1"/>
    <col min="14" max="14" width="5.57421875" style="101" bestFit="1" customWidth="1"/>
    <col min="15" max="15" width="9.28125" style="101" bestFit="1" customWidth="1"/>
    <col min="16" max="16" width="8.140625" style="101" bestFit="1" customWidth="1"/>
    <col min="17" max="17" width="11.8515625" style="101" bestFit="1" customWidth="1"/>
    <col min="18" max="18" width="10.140625" style="101" bestFit="1" customWidth="1"/>
    <col min="19" max="19" width="14.7109375" style="101" bestFit="1" customWidth="1"/>
    <col min="20" max="20" width="14.00390625" style="101" bestFit="1" customWidth="1"/>
    <col min="21" max="21" width="8.421875" style="101" bestFit="1" customWidth="1"/>
    <col min="22" max="22" width="7.140625" style="101" customWidth="1"/>
    <col min="23" max="23" width="8.421875" style="101" bestFit="1" customWidth="1"/>
    <col min="24" max="24" width="8.140625" style="101" bestFit="1" customWidth="1"/>
    <col min="25" max="26" width="8.421875" style="101" bestFit="1" customWidth="1"/>
    <col min="27" max="28" width="16.00390625" style="101" customWidth="1"/>
    <col min="29" max="30" width="6.140625" style="101" customWidth="1"/>
    <col min="31" max="34" width="5.57421875" style="101" bestFit="1" customWidth="1"/>
    <col min="35" max="35" width="9.00390625" style="101" bestFit="1" customWidth="1"/>
    <col min="36" max="36" width="8.00390625" style="101" bestFit="1" customWidth="1"/>
    <col min="37" max="37" width="13.140625" style="101" bestFit="1" customWidth="1"/>
    <col min="38" max="38" width="11.140625" style="101" bestFit="1" customWidth="1"/>
    <col min="39" max="39" width="8.00390625" style="101" customWidth="1"/>
    <col min="40" max="40" width="7.28125" style="101" bestFit="1" customWidth="1"/>
    <col min="41" max="42" width="6.140625" style="101" customWidth="1"/>
    <col min="43" max="46" width="5.57421875" style="101" bestFit="1" customWidth="1"/>
    <col min="47" max="47" width="12.57421875" style="101" bestFit="1" customWidth="1"/>
    <col min="48" max="48" width="13.7109375" style="101" bestFit="1" customWidth="1"/>
    <col min="49" max="50" width="8.140625" style="101" customWidth="1"/>
    <col min="51" max="51" width="13.140625" style="101" bestFit="1" customWidth="1"/>
    <col min="52" max="52" width="11.7109375" style="101" customWidth="1"/>
    <col min="53" max="55" width="8.140625" style="101" bestFit="1" customWidth="1"/>
    <col min="56" max="56" width="6.421875" style="101" customWidth="1"/>
    <col min="57" max="57" width="9.140625" style="101" customWidth="1"/>
    <col min="58" max="58" width="8.140625" style="101" bestFit="1" customWidth="1"/>
    <col min="59" max="59" width="14.140625" style="101" bestFit="1" customWidth="1"/>
    <col min="60" max="60" width="10.28125" style="101" bestFit="1" customWidth="1"/>
    <col min="61" max="61" width="14.28125" style="101" bestFit="1" customWidth="1"/>
    <col min="62" max="63" width="8.7109375" style="101" customWidth="1"/>
    <col min="64" max="64" width="12.421875" style="101" bestFit="1" customWidth="1"/>
    <col min="65" max="65" width="10.28125" style="101" bestFit="1" customWidth="1"/>
    <col min="66" max="66" width="11.421875" style="101" bestFit="1" customWidth="1"/>
    <col min="67" max="67" width="12.28125" style="101" bestFit="1" customWidth="1"/>
    <col min="68" max="68" width="10.421875" style="101" bestFit="1" customWidth="1"/>
    <col min="69" max="69" width="14.421875" style="101" bestFit="1" customWidth="1"/>
    <col min="70" max="70" width="9.00390625" style="101" bestFit="1" customWidth="1"/>
    <col min="71" max="71" width="8.00390625" style="101" bestFit="1" customWidth="1"/>
    <col min="72" max="72" width="13.140625" style="101" bestFit="1" customWidth="1"/>
    <col min="73" max="73" width="11.140625" style="101" bestFit="1" customWidth="1"/>
    <col min="74" max="74" width="8.00390625" style="101" customWidth="1"/>
    <col min="75" max="75" width="7.28125" style="101" bestFit="1" customWidth="1"/>
    <col min="76" max="77" width="6.140625" style="101" customWidth="1"/>
    <col min="78" max="81" width="5.57421875" style="101" bestFit="1" customWidth="1"/>
    <col min="82" max="82" width="10.8515625" style="101" bestFit="1" customWidth="1"/>
    <col min="83" max="83" width="14.57421875" style="101" customWidth="1"/>
    <col min="84" max="84" width="16.421875" style="101" bestFit="1" customWidth="1"/>
    <col min="85" max="86" width="8.140625" style="101" customWidth="1"/>
    <col min="87" max="87" width="10.57421875" style="101" bestFit="1" customWidth="1"/>
    <col min="88" max="89" width="5.421875" style="101" bestFit="1" customWidth="1"/>
    <col min="90" max="90" width="10.140625" style="101" bestFit="1" customWidth="1"/>
    <col min="91" max="91" width="10.8515625" style="101" bestFit="1" customWidth="1"/>
    <col min="92" max="92" width="14.57421875" style="101" customWidth="1"/>
    <col min="93" max="93" width="16.421875" style="101" bestFit="1" customWidth="1"/>
    <col min="94" max="95" width="8.140625" style="101" customWidth="1"/>
    <col min="96" max="96" width="10.57421875" style="101" bestFit="1" customWidth="1"/>
    <col min="97" max="98" width="5.421875" style="101" bestFit="1" customWidth="1"/>
    <col min="99" max="99" width="10.140625" style="101" bestFit="1" customWidth="1"/>
    <col min="100" max="100" width="13.7109375" style="101" bestFit="1" customWidth="1"/>
    <col min="101" max="101" width="15.00390625" style="101" bestFit="1" customWidth="1"/>
    <col min="102" max="102" width="10.8515625" style="101" bestFit="1" customWidth="1"/>
    <col min="103" max="104" width="6.421875" style="101" bestFit="1" customWidth="1"/>
    <col min="105" max="105" width="23.7109375" style="101" bestFit="1" customWidth="1"/>
    <col min="106" max="106" width="11.00390625" style="101" bestFit="1" customWidth="1"/>
    <col min="107" max="107" width="6.421875" style="101" bestFit="1" customWidth="1"/>
    <col min="108" max="108" width="12.140625" style="101" bestFit="1" customWidth="1"/>
    <col min="109" max="109" width="10.57421875" style="101" bestFit="1" customWidth="1"/>
    <col min="110" max="111" width="6.421875" style="101" bestFit="1" customWidth="1"/>
    <col min="112" max="112" width="10.57421875" style="101" bestFit="1" customWidth="1"/>
    <col min="113" max="114" width="6.421875" style="101" bestFit="1" customWidth="1"/>
    <col min="115" max="115" width="12.140625" style="101" bestFit="1" customWidth="1"/>
    <col min="116" max="118" width="6.7109375" style="101" bestFit="1" customWidth="1"/>
    <col min="119" max="119" width="10.57421875" style="101" bestFit="1" customWidth="1"/>
    <col min="120" max="121" width="6.7109375" style="101" bestFit="1" customWidth="1"/>
    <col min="122" max="122" width="17.28125" style="101" bestFit="1" customWidth="1"/>
    <col min="123" max="123" width="12.57421875" style="101" bestFit="1" customWidth="1"/>
    <col min="124" max="124" width="13.7109375" style="101" bestFit="1" customWidth="1"/>
    <col min="125" max="125" width="14.7109375" style="101" bestFit="1" customWidth="1"/>
    <col min="126" max="126" width="8.140625" style="101" bestFit="1" customWidth="1"/>
    <col min="127" max="127" width="7.8515625" style="101" bestFit="1" customWidth="1"/>
    <col min="128" max="128" width="9.57421875" style="101" bestFit="1" customWidth="1"/>
    <col min="129" max="130" width="8.57421875" style="101" customWidth="1"/>
    <col min="131" max="131" width="10.140625" style="101" bestFit="1" customWidth="1"/>
    <col min="132" max="133" width="16.00390625" style="101" customWidth="1"/>
    <col min="134" max="134" width="6.57421875" style="101" bestFit="1" customWidth="1"/>
    <col min="135" max="137" width="6.421875" style="101" bestFit="1" customWidth="1"/>
    <col min="138" max="138" width="6.8515625" style="101" bestFit="1" customWidth="1"/>
    <col min="139" max="144" width="6.421875" style="101" bestFit="1" customWidth="1"/>
    <col min="145" max="145" width="8.57421875" style="101" bestFit="1" customWidth="1"/>
    <col min="146" max="148" width="6.421875" style="101" bestFit="1" customWidth="1"/>
    <col min="149" max="149" width="7.8515625" style="101" bestFit="1" customWidth="1"/>
    <col min="150" max="150" width="6.421875" style="101" bestFit="1" customWidth="1"/>
    <col min="151" max="151" width="7.8515625" style="101" bestFit="1" customWidth="1"/>
    <col min="152" max="154" width="6.421875" style="101" bestFit="1" customWidth="1"/>
    <col min="155" max="155" width="25.00390625" style="101" bestFit="1" customWidth="1"/>
    <col min="156" max="156" width="20.140625" style="101" bestFit="1" customWidth="1"/>
    <col min="157" max="158" width="11.00390625" style="101" customWidth="1"/>
    <col min="159" max="159" width="15.140625" style="101" bestFit="1" customWidth="1"/>
    <col min="160" max="160" width="7.7109375" style="101" bestFit="1" customWidth="1"/>
    <col min="161" max="161" width="13.00390625" style="101" bestFit="1" customWidth="1"/>
    <col min="162" max="162" width="22.7109375" style="101" bestFit="1" customWidth="1"/>
    <col min="163" max="163" width="10.421875" style="101" bestFit="1" customWidth="1"/>
    <col min="164" max="164" width="20.140625" style="101" bestFit="1" customWidth="1"/>
    <col min="165" max="165" width="13.28125" style="101" bestFit="1" customWidth="1"/>
    <col min="166" max="166" width="7.28125" style="101" bestFit="1" customWidth="1"/>
    <col min="167" max="167" width="13.00390625" style="101" bestFit="1" customWidth="1"/>
    <col min="168" max="168" width="7.8515625" style="101" bestFit="1" customWidth="1"/>
    <col min="169" max="169" width="7.57421875" style="101" bestFit="1" customWidth="1"/>
    <col min="170" max="170" width="10.57421875" style="101" bestFit="1" customWidth="1"/>
    <col min="171" max="171" width="10.7109375" style="101" bestFit="1" customWidth="1"/>
    <col min="172" max="172" width="15.57421875" style="101" bestFit="1" customWidth="1"/>
    <col min="173" max="173" width="12.8515625" style="101" bestFit="1" customWidth="1"/>
    <col min="174" max="174" width="9.57421875" style="101" bestFit="1" customWidth="1"/>
    <col min="175" max="175" width="13.8515625" style="101" bestFit="1" customWidth="1"/>
    <col min="176" max="176" width="10.140625" style="101" bestFit="1" customWidth="1"/>
    <col min="177" max="177" width="9.421875" style="101" bestFit="1" customWidth="1"/>
    <col min="178" max="178" width="30.57421875" style="101" bestFit="1" customWidth="1"/>
    <col min="179" max="179" width="9.28125" style="101" customWidth="1"/>
    <col min="180" max="180" width="8.28125" style="101" bestFit="1" customWidth="1"/>
    <col min="181" max="181" width="11.421875" style="101" bestFit="1" customWidth="1"/>
    <col min="182" max="182" width="9.57421875" style="101" bestFit="1" customWidth="1"/>
    <col min="183" max="183" width="19.8515625" style="101" bestFit="1" customWidth="1"/>
    <col min="184" max="184" width="12.28125" style="101" bestFit="1" customWidth="1"/>
    <col min="185" max="185" width="11.140625" style="101" bestFit="1" customWidth="1"/>
    <col min="186" max="186" width="7.28125" style="101" bestFit="1" customWidth="1"/>
    <col min="187" max="187" width="8.28125" style="101" bestFit="1" customWidth="1"/>
    <col min="188" max="188" width="7.140625" style="101" bestFit="1" customWidth="1"/>
    <col min="189" max="189" width="8.8515625" style="101" bestFit="1" customWidth="1"/>
    <col min="190" max="190" width="15.421875" style="101" bestFit="1" customWidth="1"/>
    <col min="191" max="191" width="7.8515625" style="101" bestFit="1" customWidth="1"/>
    <col min="192" max="192" width="6.421875" style="101" bestFit="1" customWidth="1"/>
    <col min="193" max="193" width="8.140625" style="101" bestFit="1" customWidth="1"/>
    <col min="194" max="194" width="7.140625" style="101" bestFit="1" customWidth="1"/>
    <col min="195" max="195" width="11.57421875" style="101" bestFit="1" customWidth="1"/>
    <col min="196" max="196" width="11.421875" style="101" bestFit="1" customWidth="1"/>
    <col min="197" max="197" width="6.421875" style="101" bestFit="1" customWidth="1"/>
    <col min="198" max="198" width="11.7109375" style="101" customWidth="1"/>
    <col min="199" max="199" width="6.57421875" style="101" bestFit="1" customWidth="1"/>
    <col min="200" max="200" width="6.28125" style="101" bestFit="1" customWidth="1"/>
    <col min="201" max="201" width="6.57421875" style="101" bestFit="1" customWidth="1"/>
    <col min="202" max="202" width="6.28125" style="101" bestFit="1" customWidth="1"/>
    <col min="203" max="16384" width="9.140625" style="101" customWidth="1"/>
  </cols>
  <sheetData>
    <row r="1" spans="1:12" s="24" customFormat="1" ht="26.25" customHeight="1">
      <c r="A1" s="19" t="s">
        <v>0</v>
      </c>
      <c r="B1" s="20"/>
      <c r="C1" s="21"/>
      <c r="D1" s="21"/>
      <c r="E1" s="22"/>
      <c r="F1" s="23"/>
      <c r="K1" s="23"/>
      <c r="L1" s="23"/>
    </row>
    <row r="2" spans="1:202" s="24" customFormat="1" ht="21">
      <c r="A2" s="25" t="s">
        <v>1</v>
      </c>
      <c r="B2" s="26" t="s">
        <v>2</v>
      </c>
      <c r="C2" s="114" t="s">
        <v>3</v>
      </c>
      <c r="D2" s="115"/>
      <c r="E2" s="115"/>
      <c r="F2" s="116"/>
      <c r="G2" s="117" t="s">
        <v>4</v>
      </c>
      <c r="H2" s="118"/>
      <c r="I2" s="27" t="s">
        <v>5</v>
      </c>
      <c r="J2" s="28" t="s">
        <v>6</v>
      </c>
      <c r="K2" s="29" t="s">
        <v>7</v>
      </c>
      <c r="L2" s="29" t="s">
        <v>7</v>
      </c>
      <c r="M2" s="30" t="s">
        <v>8</v>
      </c>
      <c r="N2" s="125" t="s">
        <v>9</v>
      </c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7"/>
      <c r="DV2" s="138" t="s">
        <v>10</v>
      </c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40"/>
      <c r="FU2" s="141" t="s">
        <v>11</v>
      </c>
      <c r="FV2" s="142"/>
      <c r="FW2" s="142"/>
      <c r="FX2" s="142"/>
      <c r="FY2" s="142"/>
      <c r="FZ2" s="142"/>
      <c r="GA2" s="142"/>
      <c r="GB2" s="142"/>
      <c r="GC2" s="143"/>
      <c r="GD2" s="144" t="s">
        <v>12</v>
      </c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6"/>
    </row>
    <row r="3" spans="1:202" s="24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27" t="s">
        <v>17</v>
      </c>
      <c r="H3" s="27" t="s">
        <v>18</v>
      </c>
      <c r="I3" s="34" t="s">
        <v>19</v>
      </c>
      <c r="J3" s="35" t="s">
        <v>20</v>
      </c>
      <c r="K3" s="36" t="s">
        <v>21</v>
      </c>
      <c r="L3" s="36" t="s">
        <v>22</v>
      </c>
      <c r="M3" s="37" t="s">
        <v>23</v>
      </c>
      <c r="N3" s="119" t="s">
        <v>24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1"/>
      <c r="AU3" s="122" t="s">
        <v>25</v>
      </c>
      <c r="AV3" s="123"/>
      <c r="AW3" s="123"/>
      <c r="AX3" s="123"/>
      <c r="AY3" s="123"/>
      <c r="AZ3" s="123"/>
      <c r="BA3" s="123"/>
      <c r="BB3" s="123"/>
      <c r="BC3" s="124"/>
      <c r="BD3" s="128" t="s">
        <v>26</v>
      </c>
      <c r="BE3" s="129"/>
      <c r="BF3" s="129"/>
      <c r="BG3" s="130"/>
      <c r="BH3" s="131" t="s">
        <v>27</v>
      </c>
      <c r="BI3" s="132"/>
      <c r="BJ3" s="132"/>
      <c r="BK3" s="132"/>
      <c r="BL3" s="132"/>
      <c r="BM3" s="133"/>
      <c r="BN3" s="78" t="s">
        <v>28</v>
      </c>
      <c r="BO3" s="79"/>
      <c r="BP3" s="79"/>
      <c r="BQ3" s="80"/>
      <c r="BR3" s="81" t="s">
        <v>29</v>
      </c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134"/>
      <c r="CD3" s="135" t="s">
        <v>30</v>
      </c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7"/>
      <c r="DV3" s="27" t="s">
        <v>31</v>
      </c>
      <c r="DW3" s="30" t="s">
        <v>32</v>
      </c>
      <c r="DX3" s="30" t="s">
        <v>33</v>
      </c>
      <c r="DY3" s="38" t="s">
        <v>34</v>
      </c>
      <c r="DZ3" s="38" t="s">
        <v>35</v>
      </c>
      <c r="EA3" s="39" t="s">
        <v>36</v>
      </c>
      <c r="EB3" s="154" t="s">
        <v>37</v>
      </c>
      <c r="EC3" s="155"/>
      <c r="ED3" s="151" t="s">
        <v>38</v>
      </c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3"/>
      <c r="FC3" s="148" t="s">
        <v>39</v>
      </c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50"/>
      <c r="FU3" s="27" t="s">
        <v>40</v>
      </c>
      <c r="FV3" s="39" t="s">
        <v>41</v>
      </c>
      <c r="FW3" s="39" t="s">
        <v>42</v>
      </c>
      <c r="FX3" s="39" t="s">
        <v>43</v>
      </c>
      <c r="FY3" s="42" t="s">
        <v>386</v>
      </c>
      <c r="FZ3" s="151" t="s">
        <v>44</v>
      </c>
      <c r="GA3" s="152"/>
      <c r="GB3" s="152"/>
      <c r="GC3" s="153"/>
      <c r="GD3" s="43" t="s">
        <v>45</v>
      </c>
      <c r="GE3" s="34" t="s">
        <v>42</v>
      </c>
      <c r="GF3" s="34" t="s">
        <v>43</v>
      </c>
      <c r="GG3" s="34" t="s">
        <v>36</v>
      </c>
      <c r="GH3" s="117" t="s">
        <v>46</v>
      </c>
      <c r="GI3" s="147"/>
      <c r="GJ3" s="147"/>
      <c r="GK3" s="118"/>
      <c r="GL3" s="148" t="s">
        <v>47</v>
      </c>
      <c r="GM3" s="149"/>
      <c r="GN3" s="149"/>
      <c r="GO3" s="149"/>
      <c r="GP3" s="149"/>
      <c r="GQ3" s="149"/>
      <c r="GR3" s="149"/>
      <c r="GS3" s="149"/>
      <c r="GT3" s="150"/>
    </row>
    <row r="4" spans="1:202" s="58" customFormat="1" ht="21">
      <c r="A4" s="44"/>
      <c r="B4" s="45"/>
      <c r="C4" s="46"/>
      <c r="D4" s="46"/>
      <c r="E4" s="46"/>
      <c r="F4" s="46"/>
      <c r="G4" s="47"/>
      <c r="H4" s="47"/>
      <c r="I4" s="47"/>
      <c r="J4" s="32" t="s">
        <v>48</v>
      </c>
      <c r="K4" s="31"/>
      <c r="L4" s="31"/>
      <c r="M4" s="48"/>
      <c r="N4" s="42" t="s">
        <v>49</v>
      </c>
      <c r="O4" s="42" t="s">
        <v>36</v>
      </c>
      <c r="P4" s="42" t="s">
        <v>50</v>
      </c>
      <c r="Q4" s="42" t="s">
        <v>51</v>
      </c>
      <c r="R4" s="42" t="s">
        <v>52</v>
      </c>
      <c r="S4" s="156" t="s">
        <v>53</v>
      </c>
      <c r="T4" s="157"/>
      <c r="U4" s="156" t="s">
        <v>54</v>
      </c>
      <c r="V4" s="158"/>
      <c r="W4" s="158"/>
      <c r="X4" s="158"/>
      <c r="Y4" s="158"/>
      <c r="Z4" s="157"/>
      <c r="AA4" s="154" t="s">
        <v>37</v>
      </c>
      <c r="AB4" s="155"/>
      <c r="AC4" s="156" t="s">
        <v>55</v>
      </c>
      <c r="AD4" s="158"/>
      <c r="AE4" s="158"/>
      <c r="AF4" s="157"/>
      <c r="AG4" s="159" t="s">
        <v>56</v>
      </c>
      <c r="AH4" s="160"/>
      <c r="AI4" s="156" t="s">
        <v>57</v>
      </c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7"/>
      <c r="AU4" s="42" t="s">
        <v>58</v>
      </c>
      <c r="AV4" s="42" t="s">
        <v>59</v>
      </c>
      <c r="AW4" s="156" t="s">
        <v>60</v>
      </c>
      <c r="AX4" s="157"/>
      <c r="AY4" s="42" t="s">
        <v>61</v>
      </c>
      <c r="AZ4" s="42" t="s">
        <v>62</v>
      </c>
      <c r="BA4" s="161" t="s">
        <v>63</v>
      </c>
      <c r="BB4" s="162"/>
      <c r="BC4" s="163"/>
      <c r="BD4" s="42" t="s">
        <v>49</v>
      </c>
      <c r="BE4" s="42" t="s">
        <v>36</v>
      </c>
      <c r="BF4" s="42" t="s">
        <v>50</v>
      </c>
      <c r="BG4" s="42" t="s">
        <v>64</v>
      </c>
      <c r="BH4" s="42" t="s">
        <v>65</v>
      </c>
      <c r="BI4" s="42" t="s">
        <v>59</v>
      </c>
      <c r="BJ4" s="156" t="s">
        <v>60</v>
      </c>
      <c r="BK4" s="157"/>
      <c r="BL4" s="42" t="s">
        <v>66</v>
      </c>
      <c r="BM4" s="42" t="s">
        <v>67</v>
      </c>
      <c r="BN4" s="42" t="s">
        <v>68</v>
      </c>
      <c r="BO4" s="42" t="s">
        <v>69</v>
      </c>
      <c r="BP4" s="42" t="s">
        <v>70</v>
      </c>
      <c r="BQ4" s="52" t="s">
        <v>71</v>
      </c>
      <c r="BR4" s="42" t="s">
        <v>36</v>
      </c>
      <c r="BS4" s="52" t="s">
        <v>50</v>
      </c>
      <c r="BT4" s="42" t="s">
        <v>72</v>
      </c>
      <c r="BU4" s="42" t="s">
        <v>73</v>
      </c>
      <c r="BV4" s="154" t="s">
        <v>74</v>
      </c>
      <c r="BW4" s="155"/>
      <c r="BX4" s="156" t="s">
        <v>55</v>
      </c>
      <c r="BY4" s="158"/>
      <c r="BZ4" s="158"/>
      <c r="CA4" s="157"/>
      <c r="CB4" s="159" t="s">
        <v>56</v>
      </c>
      <c r="CC4" s="160"/>
      <c r="CD4" s="156" t="s">
        <v>75</v>
      </c>
      <c r="CE4" s="158"/>
      <c r="CF4" s="158"/>
      <c r="CG4" s="158"/>
      <c r="CH4" s="158"/>
      <c r="CI4" s="158"/>
      <c r="CJ4" s="158"/>
      <c r="CK4" s="158"/>
      <c r="CL4" s="157"/>
      <c r="CM4" s="156" t="s">
        <v>76</v>
      </c>
      <c r="CN4" s="158"/>
      <c r="CO4" s="158"/>
      <c r="CP4" s="158"/>
      <c r="CQ4" s="158"/>
      <c r="CR4" s="158"/>
      <c r="CS4" s="158"/>
      <c r="CT4" s="158"/>
      <c r="CU4" s="157"/>
      <c r="CV4" s="156" t="s">
        <v>77</v>
      </c>
      <c r="CW4" s="158"/>
      <c r="CX4" s="158"/>
      <c r="CY4" s="158"/>
      <c r="CZ4" s="158"/>
      <c r="DA4" s="158"/>
      <c r="DB4" s="158"/>
      <c r="DC4" s="158"/>
      <c r="DD4" s="157"/>
      <c r="DE4" s="156" t="s">
        <v>78</v>
      </c>
      <c r="DF4" s="158"/>
      <c r="DG4" s="158"/>
      <c r="DH4" s="158"/>
      <c r="DI4" s="158"/>
      <c r="DJ4" s="158"/>
      <c r="DK4" s="157"/>
      <c r="DL4" s="161" t="s">
        <v>63</v>
      </c>
      <c r="DM4" s="162"/>
      <c r="DN4" s="163"/>
      <c r="DO4" s="156" t="s">
        <v>79</v>
      </c>
      <c r="DP4" s="158"/>
      <c r="DQ4" s="157"/>
      <c r="DR4" s="161" t="s">
        <v>28</v>
      </c>
      <c r="DS4" s="162"/>
      <c r="DT4" s="162"/>
      <c r="DU4" s="163"/>
      <c r="DV4" s="34"/>
      <c r="DW4" s="37" t="s">
        <v>80</v>
      </c>
      <c r="DX4" s="37"/>
      <c r="DY4" s="53"/>
      <c r="DZ4" s="53"/>
      <c r="EA4" s="43"/>
      <c r="EB4" s="42" t="s">
        <v>81</v>
      </c>
      <c r="EC4" s="52" t="s">
        <v>82</v>
      </c>
      <c r="ED4" s="43" t="s">
        <v>83</v>
      </c>
      <c r="EE4" s="34" t="s">
        <v>84</v>
      </c>
      <c r="EF4" s="34" t="s">
        <v>85</v>
      </c>
      <c r="EG4" s="54" t="s">
        <v>86</v>
      </c>
      <c r="EH4" s="47" t="s">
        <v>87</v>
      </c>
      <c r="EI4" s="47" t="s">
        <v>88</v>
      </c>
      <c r="EJ4" s="54" t="s">
        <v>89</v>
      </c>
      <c r="EK4" s="47" t="s">
        <v>90</v>
      </c>
      <c r="EL4" s="47" t="s">
        <v>91</v>
      </c>
      <c r="EM4" s="47" t="s">
        <v>92</v>
      </c>
      <c r="EN4" s="47" t="s">
        <v>93</v>
      </c>
      <c r="EO4" s="55" t="s">
        <v>94</v>
      </c>
      <c r="EP4" s="55" t="s">
        <v>387</v>
      </c>
      <c r="EQ4" s="55" t="s">
        <v>388</v>
      </c>
      <c r="ER4" s="55" t="s">
        <v>389</v>
      </c>
      <c r="ES4" s="164" t="s">
        <v>390</v>
      </c>
      <c r="ET4" s="165"/>
      <c r="EU4" s="164" t="s">
        <v>391</v>
      </c>
      <c r="EV4" s="165"/>
      <c r="EW4" s="55" t="s">
        <v>392</v>
      </c>
      <c r="EX4" s="55" t="s">
        <v>393</v>
      </c>
      <c r="EY4" s="55" t="s">
        <v>95</v>
      </c>
      <c r="EZ4" s="55" t="s">
        <v>96</v>
      </c>
      <c r="FA4" s="154" t="s">
        <v>97</v>
      </c>
      <c r="FB4" s="155"/>
      <c r="FC4" s="56" t="s">
        <v>98</v>
      </c>
      <c r="FD4" s="56" t="s">
        <v>99</v>
      </c>
      <c r="FE4" s="56" t="s">
        <v>100</v>
      </c>
      <c r="FF4" s="56" t="s">
        <v>101</v>
      </c>
      <c r="FG4" s="56" t="s">
        <v>102</v>
      </c>
      <c r="FH4" s="56" t="s">
        <v>103</v>
      </c>
      <c r="FI4" s="56" t="s">
        <v>104</v>
      </c>
      <c r="FJ4" s="56" t="s">
        <v>105</v>
      </c>
      <c r="FK4" s="56" t="s">
        <v>106</v>
      </c>
      <c r="FL4" s="56" t="s">
        <v>107</v>
      </c>
      <c r="FM4" s="56" t="s">
        <v>108</v>
      </c>
      <c r="FN4" s="56" t="s">
        <v>109</v>
      </c>
      <c r="FO4" s="56" t="s">
        <v>110</v>
      </c>
      <c r="FP4" s="56" t="s">
        <v>111</v>
      </c>
      <c r="FQ4" s="56" t="s">
        <v>112</v>
      </c>
      <c r="FR4" s="56" t="s">
        <v>113</v>
      </c>
      <c r="FS4" s="56" t="s">
        <v>114</v>
      </c>
      <c r="FT4" s="56" t="s">
        <v>115</v>
      </c>
      <c r="FU4" s="34"/>
      <c r="FV4" s="43"/>
      <c r="FW4" s="43"/>
      <c r="FX4" s="43"/>
      <c r="FY4" s="43"/>
      <c r="FZ4" s="43" t="s">
        <v>116</v>
      </c>
      <c r="GA4" s="43" t="s">
        <v>117</v>
      </c>
      <c r="GB4" s="43" t="s">
        <v>118</v>
      </c>
      <c r="GC4" s="43" t="s">
        <v>119</v>
      </c>
      <c r="GD4" s="34" t="s">
        <v>120</v>
      </c>
      <c r="GE4" s="57"/>
      <c r="GF4" s="57"/>
      <c r="GG4" s="57"/>
      <c r="GH4" s="34" t="s">
        <v>121</v>
      </c>
      <c r="GI4" s="34" t="s">
        <v>122</v>
      </c>
      <c r="GJ4" s="34" t="s">
        <v>123</v>
      </c>
      <c r="GK4" s="117" t="s">
        <v>124</v>
      </c>
      <c r="GL4" s="118"/>
      <c r="GM4" s="148" t="s">
        <v>125</v>
      </c>
      <c r="GN4" s="149"/>
      <c r="GO4" s="150"/>
      <c r="GP4" s="148" t="s">
        <v>126</v>
      </c>
      <c r="GQ4" s="149"/>
      <c r="GR4" s="149"/>
      <c r="GS4" s="149"/>
      <c r="GT4" s="150"/>
    </row>
    <row r="5" spans="1:202" s="58" customFormat="1" ht="21">
      <c r="A5" s="44"/>
      <c r="B5" s="45"/>
      <c r="C5" s="46"/>
      <c r="D5" s="46"/>
      <c r="E5" s="46"/>
      <c r="F5" s="46"/>
      <c r="G5" s="47"/>
      <c r="H5" s="47"/>
      <c r="I5" s="47"/>
      <c r="J5" s="32" t="s">
        <v>127</v>
      </c>
      <c r="K5" s="31"/>
      <c r="L5" s="31"/>
      <c r="M5" s="48"/>
      <c r="N5" s="59"/>
      <c r="O5" s="59"/>
      <c r="P5" s="59"/>
      <c r="Q5" s="59"/>
      <c r="R5" s="59"/>
      <c r="S5" s="59" t="s">
        <v>128</v>
      </c>
      <c r="T5" s="59" t="s">
        <v>129</v>
      </c>
      <c r="U5" s="156" t="s">
        <v>130</v>
      </c>
      <c r="V5" s="157"/>
      <c r="W5" s="156" t="s">
        <v>131</v>
      </c>
      <c r="X5" s="157"/>
      <c r="Y5" s="156" t="s">
        <v>61</v>
      </c>
      <c r="Z5" s="157"/>
      <c r="AA5" s="42" t="s">
        <v>81</v>
      </c>
      <c r="AB5" s="52" t="s">
        <v>82</v>
      </c>
      <c r="AC5" s="156" t="s">
        <v>132</v>
      </c>
      <c r="AD5" s="157"/>
      <c r="AE5" s="154" t="s">
        <v>133</v>
      </c>
      <c r="AF5" s="155"/>
      <c r="AG5" s="60"/>
      <c r="AH5" s="61"/>
      <c r="AI5" s="42" t="s">
        <v>36</v>
      </c>
      <c r="AJ5" s="52" t="s">
        <v>50</v>
      </c>
      <c r="AK5" s="42" t="s">
        <v>72</v>
      </c>
      <c r="AL5" s="42" t="s">
        <v>73</v>
      </c>
      <c r="AM5" s="154" t="s">
        <v>74</v>
      </c>
      <c r="AN5" s="155"/>
      <c r="AO5" s="156" t="s">
        <v>55</v>
      </c>
      <c r="AP5" s="158"/>
      <c r="AQ5" s="158"/>
      <c r="AR5" s="157"/>
      <c r="AS5" s="159" t="s">
        <v>56</v>
      </c>
      <c r="AT5" s="160"/>
      <c r="AU5" s="59"/>
      <c r="AV5" s="59"/>
      <c r="AW5" s="59" t="s">
        <v>134</v>
      </c>
      <c r="AX5" s="59" t="s">
        <v>123</v>
      </c>
      <c r="AY5" s="59" t="s">
        <v>132</v>
      </c>
      <c r="AZ5" s="59" t="s">
        <v>133</v>
      </c>
      <c r="BA5" s="62"/>
      <c r="BB5" s="62"/>
      <c r="BC5" s="63"/>
      <c r="BD5" s="59"/>
      <c r="BE5" s="59" t="s">
        <v>135</v>
      </c>
      <c r="BF5" s="59"/>
      <c r="BG5" s="59"/>
      <c r="BH5" s="59"/>
      <c r="BI5" s="59"/>
      <c r="BJ5" s="59" t="s">
        <v>134</v>
      </c>
      <c r="BK5" s="59" t="s">
        <v>123</v>
      </c>
      <c r="BL5" s="59" t="s">
        <v>132</v>
      </c>
      <c r="BM5" s="64" t="s">
        <v>133</v>
      </c>
      <c r="BN5" s="59"/>
      <c r="BO5" s="59"/>
      <c r="BP5" s="59"/>
      <c r="BQ5" s="65"/>
      <c r="BR5" s="59"/>
      <c r="BS5" s="59"/>
      <c r="BT5" s="59"/>
      <c r="BU5" s="59"/>
      <c r="BV5" s="59" t="s">
        <v>128</v>
      </c>
      <c r="BW5" s="59" t="s">
        <v>129</v>
      </c>
      <c r="BX5" s="49" t="s">
        <v>132</v>
      </c>
      <c r="BY5" s="50"/>
      <c r="BZ5" s="40" t="s">
        <v>133</v>
      </c>
      <c r="CA5" s="41"/>
      <c r="CB5" s="66"/>
      <c r="CC5" s="61"/>
      <c r="CD5" s="42" t="s">
        <v>136</v>
      </c>
      <c r="CE5" s="42" t="s">
        <v>32</v>
      </c>
      <c r="CF5" s="65" t="s">
        <v>137</v>
      </c>
      <c r="CG5" s="156" t="s">
        <v>60</v>
      </c>
      <c r="CH5" s="157"/>
      <c r="CI5" s="156" t="s">
        <v>138</v>
      </c>
      <c r="CJ5" s="158"/>
      <c r="CK5" s="157"/>
      <c r="CL5" s="42" t="s">
        <v>71</v>
      </c>
      <c r="CM5" s="42" t="s">
        <v>136</v>
      </c>
      <c r="CN5" s="42" t="s">
        <v>32</v>
      </c>
      <c r="CO5" s="65" t="s">
        <v>137</v>
      </c>
      <c r="CP5" s="156" t="s">
        <v>60</v>
      </c>
      <c r="CQ5" s="157"/>
      <c r="CR5" s="156" t="s">
        <v>138</v>
      </c>
      <c r="CS5" s="158"/>
      <c r="CT5" s="157"/>
      <c r="CU5" s="42" t="s">
        <v>71</v>
      </c>
      <c r="CV5" s="156" t="s">
        <v>139</v>
      </c>
      <c r="CW5" s="157"/>
      <c r="CX5" s="156" t="s">
        <v>140</v>
      </c>
      <c r="CY5" s="158"/>
      <c r="CZ5" s="157"/>
      <c r="DA5" s="156" t="s">
        <v>141</v>
      </c>
      <c r="DB5" s="158"/>
      <c r="DC5" s="157"/>
      <c r="DD5" s="42" t="s">
        <v>71</v>
      </c>
      <c r="DE5" s="156" t="s">
        <v>142</v>
      </c>
      <c r="DF5" s="158"/>
      <c r="DG5" s="157"/>
      <c r="DH5" s="156" t="s">
        <v>138</v>
      </c>
      <c r="DI5" s="158"/>
      <c r="DJ5" s="157"/>
      <c r="DK5" s="42" t="s">
        <v>71</v>
      </c>
      <c r="DL5" s="67"/>
      <c r="DM5" s="62"/>
      <c r="DN5" s="63"/>
      <c r="DO5" s="42" t="s">
        <v>143</v>
      </c>
      <c r="DP5" s="156" t="s">
        <v>142</v>
      </c>
      <c r="DQ5" s="157"/>
      <c r="DR5" s="67"/>
      <c r="DS5" s="62"/>
      <c r="DT5" s="62"/>
      <c r="DU5" s="63"/>
      <c r="DV5" s="46"/>
      <c r="DW5" s="46"/>
      <c r="DX5" s="46"/>
      <c r="DY5" s="46"/>
      <c r="DZ5" s="46"/>
      <c r="EA5" s="46"/>
      <c r="EB5" s="59"/>
      <c r="EC5" s="65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27" t="s">
        <v>32</v>
      </c>
      <c r="ET5" s="27" t="s">
        <v>134</v>
      </c>
      <c r="EU5" s="27" t="s">
        <v>32</v>
      </c>
      <c r="EV5" s="27" t="s">
        <v>134</v>
      </c>
      <c r="EW5" s="46"/>
      <c r="EX5" s="46"/>
      <c r="EY5" s="46"/>
      <c r="EZ5" s="46"/>
      <c r="FA5" s="68" t="s">
        <v>144</v>
      </c>
      <c r="FB5" s="68" t="s">
        <v>145</v>
      </c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34"/>
      <c r="GE5" s="57"/>
      <c r="GF5" s="57"/>
      <c r="GG5" s="57"/>
      <c r="GH5" s="57"/>
      <c r="GI5" s="57"/>
      <c r="GJ5" s="57"/>
      <c r="GK5" s="57" t="s">
        <v>128</v>
      </c>
      <c r="GL5" s="57" t="s">
        <v>129</v>
      </c>
      <c r="GM5" s="36" t="s">
        <v>146</v>
      </c>
      <c r="GN5" s="59" t="s">
        <v>386</v>
      </c>
      <c r="GO5" s="36" t="s">
        <v>147</v>
      </c>
      <c r="GP5" s="36" t="s">
        <v>148</v>
      </c>
      <c r="GQ5" s="156" t="s">
        <v>142</v>
      </c>
      <c r="GR5" s="157"/>
      <c r="GS5" s="156" t="s">
        <v>149</v>
      </c>
      <c r="GT5" s="157"/>
    </row>
    <row r="6" spans="1:202" s="58" customFormat="1" ht="21">
      <c r="A6" s="44"/>
      <c r="B6" s="45"/>
      <c r="C6" s="46"/>
      <c r="D6" s="46"/>
      <c r="E6" s="46"/>
      <c r="F6" s="46"/>
      <c r="G6" s="47"/>
      <c r="H6" s="47"/>
      <c r="I6" s="47"/>
      <c r="J6" s="32"/>
      <c r="K6" s="31"/>
      <c r="L6" s="31"/>
      <c r="M6" s="48"/>
      <c r="N6" s="59"/>
      <c r="O6" s="59"/>
      <c r="P6" s="59"/>
      <c r="Q6" s="59"/>
      <c r="R6" s="59"/>
      <c r="S6" s="59"/>
      <c r="T6" s="59"/>
      <c r="U6" s="59" t="s">
        <v>150</v>
      </c>
      <c r="V6" s="59" t="s">
        <v>151</v>
      </c>
      <c r="W6" s="59" t="s">
        <v>150</v>
      </c>
      <c r="X6" s="59" t="s">
        <v>151</v>
      </c>
      <c r="Y6" s="59" t="s">
        <v>150</v>
      </c>
      <c r="Z6" s="59" t="s">
        <v>151</v>
      </c>
      <c r="AA6" s="59"/>
      <c r="AB6" s="65"/>
      <c r="AC6" s="59" t="s">
        <v>69</v>
      </c>
      <c r="AD6" s="59" t="s">
        <v>152</v>
      </c>
      <c r="AE6" s="59" t="s">
        <v>69</v>
      </c>
      <c r="AF6" s="59" t="s">
        <v>152</v>
      </c>
      <c r="AG6" s="48" t="s">
        <v>123</v>
      </c>
      <c r="AH6" s="48" t="s">
        <v>147</v>
      </c>
      <c r="AI6" s="59"/>
      <c r="AJ6" s="65"/>
      <c r="AK6" s="59"/>
      <c r="AL6" s="59"/>
      <c r="AM6" s="59" t="s">
        <v>128</v>
      </c>
      <c r="AN6" s="59" t="s">
        <v>129</v>
      </c>
      <c r="AO6" s="156" t="s">
        <v>132</v>
      </c>
      <c r="AP6" s="157"/>
      <c r="AQ6" s="154" t="s">
        <v>133</v>
      </c>
      <c r="AR6" s="155"/>
      <c r="AS6" s="66"/>
      <c r="AT6" s="61"/>
      <c r="AU6" s="59"/>
      <c r="AV6" s="59"/>
      <c r="AW6" s="59"/>
      <c r="AX6" s="59"/>
      <c r="AY6" s="59"/>
      <c r="AZ6" s="59"/>
      <c r="BA6" s="59" t="s">
        <v>134</v>
      </c>
      <c r="BB6" s="59" t="s">
        <v>147</v>
      </c>
      <c r="BC6" s="59" t="s">
        <v>123</v>
      </c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69" t="s">
        <v>153</v>
      </c>
      <c r="BQ6" s="65"/>
      <c r="BR6" s="46"/>
      <c r="BS6" s="46"/>
      <c r="BT6" s="46"/>
      <c r="BU6" s="46"/>
      <c r="BV6" s="46"/>
      <c r="BW6" s="46"/>
      <c r="BX6" s="59" t="s">
        <v>69</v>
      </c>
      <c r="BY6" s="59" t="s">
        <v>152</v>
      </c>
      <c r="BZ6" s="59" t="s">
        <v>69</v>
      </c>
      <c r="CA6" s="59" t="s">
        <v>152</v>
      </c>
      <c r="CB6" s="48" t="s">
        <v>123</v>
      </c>
      <c r="CC6" s="48" t="s">
        <v>147</v>
      </c>
      <c r="CD6" s="46"/>
      <c r="CE6" s="46"/>
      <c r="CG6" s="59" t="s">
        <v>134</v>
      </c>
      <c r="CH6" s="59" t="s">
        <v>123</v>
      </c>
      <c r="CI6" s="42" t="s">
        <v>146</v>
      </c>
      <c r="CJ6" s="24" t="s">
        <v>153</v>
      </c>
      <c r="CK6" s="51" t="s">
        <v>147</v>
      </c>
      <c r="CL6" s="46"/>
      <c r="CM6" s="46"/>
      <c r="CN6" s="46"/>
      <c r="CP6" s="59" t="s">
        <v>134</v>
      </c>
      <c r="CQ6" s="59" t="s">
        <v>123</v>
      </c>
      <c r="CR6" s="42" t="s">
        <v>146</v>
      </c>
      <c r="CS6" s="24" t="s">
        <v>153</v>
      </c>
      <c r="CT6" s="51" t="s">
        <v>147</v>
      </c>
      <c r="CU6" s="46"/>
      <c r="CV6" s="42" t="s">
        <v>64</v>
      </c>
      <c r="CW6" s="42" t="s">
        <v>154</v>
      </c>
      <c r="CX6" s="42" t="s">
        <v>148</v>
      </c>
      <c r="CY6" s="156" t="s">
        <v>142</v>
      </c>
      <c r="CZ6" s="157"/>
      <c r="DA6" s="42" t="s">
        <v>155</v>
      </c>
      <c r="DB6" s="42" t="s">
        <v>394</v>
      </c>
      <c r="DC6" s="42" t="s">
        <v>147</v>
      </c>
      <c r="DE6" s="42" t="s">
        <v>143</v>
      </c>
      <c r="DF6" s="42" t="s">
        <v>134</v>
      </c>
      <c r="DG6" s="42" t="s">
        <v>123</v>
      </c>
      <c r="DH6" s="42" t="s">
        <v>146</v>
      </c>
      <c r="DI6" s="42" t="s">
        <v>153</v>
      </c>
      <c r="DJ6" s="42" t="s">
        <v>147</v>
      </c>
      <c r="DK6" s="70"/>
      <c r="DL6" s="59" t="s">
        <v>134</v>
      </c>
      <c r="DM6" s="59" t="s">
        <v>147</v>
      </c>
      <c r="DN6" s="59" t="s">
        <v>123</v>
      </c>
      <c r="DO6" s="59"/>
      <c r="DP6" s="59" t="s">
        <v>134</v>
      </c>
      <c r="DQ6" s="59" t="s">
        <v>123</v>
      </c>
      <c r="DR6" s="42" t="s">
        <v>156</v>
      </c>
      <c r="DS6" s="42" t="s">
        <v>69</v>
      </c>
      <c r="DT6" s="42" t="s">
        <v>395</v>
      </c>
      <c r="DU6" s="42" t="s">
        <v>71</v>
      </c>
      <c r="DV6" s="46"/>
      <c r="DW6" s="46"/>
      <c r="DX6" s="46"/>
      <c r="DY6" s="46"/>
      <c r="DZ6" s="46"/>
      <c r="EA6" s="46"/>
      <c r="EB6" s="59"/>
      <c r="EC6" s="65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34"/>
      <c r="GE6" s="57"/>
      <c r="GF6" s="57"/>
      <c r="GG6" s="57"/>
      <c r="GH6" s="34"/>
      <c r="GI6" s="34"/>
      <c r="GJ6" s="34"/>
      <c r="GK6" s="34"/>
      <c r="GL6" s="34"/>
      <c r="GM6" s="36"/>
      <c r="GN6" s="36"/>
      <c r="GO6" s="36"/>
      <c r="GP6" s="36"/>
      <c r="GQ6" s="36" t="s">
        <v>134</v>
      </c>
      <c r="GR6" s="36" t="s">
        <v>123</v>
      </c>
      <c r="GS6" s="36" t="s">
        <v>134</v>
      </c>
      <c r="GT6" s="36" t="s">
        <v>147</v>
      </c>
    </row>
    <row r="7" spans="1:202" s="88" customFormat="1" ht="23.25">
      <c r="A7" s="71"/>
      <c r="B7" s="72"/>
      <c r="C7" s="73"/>
      <c r="D7" s="73"/>
      <c r="E7" s="73"/>
      <c r="F7" s="73"/>
      <c r="G7" s="74"/>
      <c r="H7" s="74"/>
      <c r="I7" s="74"/>
      <c r="J7" s="75"/>
      <c r="K7" s="31" t="s">
        <v>157</v>
      </c>
      <c r="L7" s="31" t="s">
        <v>157</v>
      </c>
      <c r="M7" s="48" t="s">
        <v>158</v>
      </c>
      <c r="N7" s="76"/>
      <c r="O7" s="76" t="s">
        <v>159</v>
      </c>
      <c r="P7" s="76" t="s">
        <v>159</v>
      </c>
      <c r="Q7" s="76" t="s">
        <v>159</v>
      </c>
      <c r="R7" s="76" t="s">
        <v>160</v>
      </c>
      <c r="S7" s="76" t="s">
        <v>161</v>
      </c>
      <c r="T7" s="76" t="s">
        <v>161</v>
      </c>
      <c r="U7" s="76" t="s">
        <v>162</v>
      </c>
      <c r="V7" s="76" t="s">
        <v>163</v>
      </c>
      <c r="W7" s="76" t="s">
        <v>162</v>
      </c>
      <c r="X7" s="76" t="s">
        <v>163</v>
      </c>
      <c r="Y7" s="76" t="s">
        <v>162</v>
      </c>
      <c r="Z7" s="76" t="s">
        <v>163</v>
      </c>
      <c r="AA7" s="76" t="s">
        <v>158</v>
      </c>
      <c r="AB7" s="63" t="s">
        <v>158</v>
      </c>
      <c r="AC7" s="76"/>
      <c r="AD7" s="76" t="s">
        <v>159</v>
      </c>
      <c r="AE7" s="76"/>
      <c r="AF7" s="76" t="s">
        <v>159</v>
      </c>
      <c r="AG7" s="76" t="s">
        <v>159</v>
      </c>
      <c r="AH7" s="76" t="s">
        <v>159</v>
      </c>
      <c r="AI7" s="76" t="s">
        <v>159</v>
      </c>
      <c r="AJ7" s="63" t="s">
        <v>159</v>
      </c>
      <c r="AK7" s="76" t="s">
        <v>159</v>
      </c>
      <c r="AL7" s="76" t="s">
        <v>160</v>
      </c>
      <c r="AM7" s="76" t="s">
        <v>161</v>
      </c>
      <c r="AN7" s="76" t="s">
        <v>161</v>
      </c>
      <c r="AO7" s="59" t="s">
        <v>69</v>
      </c>
      <c r="AP7" s="59" t="s">
        <v>152</v>
      </c>
      <c r="AQ7" s="59" t="s">
        <v>69</v>
      </c>
      <c r="AR7" s="59" t="s">
        <v>152</v>
      </c>
      <c r="AS7" s="48" t="s">
        <v>123</v>
      </c>
      <c r="AT7" s="48" t="s">
        <v>147</v>
      </c>
      <c r="AU7" s="76" t="s">
        <v>164</v>
      </c>
      <c r="AV7" s="76"/>
      <c r="AW7" s="76" t="s">
        <v>159</v>
      </c>
      <c r="AX7" s="76" t="s">
        <v>159</v>
      </c>
      <c r="AY7" s="76"/>
      <c r="AZ7" s="76"/>
      <c r="BA7" s="76" t="s">
        <v>159</v>
      </c>
      <c r="BB7" s="76" t="s">
        <v>159</v>
      </c>
      <c r="BC7" s="76" t="s">
        <v>159</v>
      </c>
      <c r="BD7" s="76"/>
      <c r="BE7" s="76" t="s">
        <v>159</v>
      </c>
      <c r="BF7" s="76" t="s">
        <v>159</v>
      </c>
      <c r="BG7" s="76"/>
      <c r="BH7" s="76" t="s">
        <v>164</v>
      </c>
      <c r="BI7" s="76"/>
      <c r="BJ7" s="76" t="s">
        <v>159</v>
      </c>
      <c r="BK7" s="76" t="s">
        <v>159</v>
      </c>
      <c r="BL7" s="76"/>
      <c r="BM7" s="76"/>
      <c r="BN7" s="67" t="s">
        <v>165</v>
      </c>
      <c r="BO7" s="76" t="s">
        <v>166</v>
      </c>
      <c r="BP7" s="76" t="s">
        <v>159</v>
      </c>
      <c r="BQ7" s="63" t="s">
        <v>167</v>
      </c>
      <c r="BR7" s="76" t="s">
        <v>159</v>
      </c>
      <c r="BS7" s="76" t="s">
        <v>159</v>
      </c>
      <c r="BT7" s="76" t="s">
        <v>159</v>
      </c>
      <c r="BU7" s="76" t="s">
        <v>160</v>
      </c>
      <c r="BV7" s="76" t="s">
        <v>161</v>
      </c>
      <c r="BW7" s="76" t="s">
        <v>161</v>
      </c>
      <c r="BX7" s="76"/>
      <c r="BY7" s="76" t="s">
        <v>159</v>
      </c>
      <c r="BZ7" s="76"/>
      <c r="CA7" s="76" t="s">
        <v>159</v>
      </c>
      <c r="CB7" s="76" t="s">
        <v>159</v>
      </c>
      <c r="CC7" s="76" t="s">
        <v>159</v>
      </c>
      <c r="CD7" s="76"/>
      <c r="CE7" s="76" t="s">
        <v>168</v>
      </c>
      <c r="CF7" s="62" t="s">
        <v>169</v>
      </c>
      <c r="CG7" s="67" t="s">
        <v>159</v>
      </c>
      <c r="CH7" s="67" t="s">
        <v>159</v>
      </c>
      <c r="CI7" s="76"/>
      <c r="CJ7" s="62" t="s">
        <v>159</v>
      </c>
      <c r="CK7" s="67" t="s">
        <v>159</v>
      </c>
      <c r="CL7" s="76" t="s">
        <v>170</v>
      </c>
      <c r="CM7" s="76"/>
      <c r="CN7" s="76" t="s">
        <v>168</v>
      </c>
      <c r="CO7" s="62" t="s">
        <v>169</v>
      </c>
      <c r="CP7" s="67" t="s">
        <v>159</v>
      </c>
      <c r="CQ7" s="67" t="s">
        <v>159</v>
      </c>
      <c r="CR7" s="76"/>
      <c r="CS7" s="62" t="s">
        <v>159</v>
      </c>
      <c r="CT7" s="67" t="s">
        <v>159</v>
      </c>
      <c r="CU7" s="76" t="s">
        <v>170</v>
      </c>
      <c r="CV7" s="76"/>
      <c r="CW7" s="67" t="s">
        <v>159</v>
      </c>
      <c r="CX7" s="76"/>
      <c r="CY7" s="67" t="s">
        <v>134</v>
      </c>
      <c r="CZ7" s="67" t="s">
        <v>123</v>
      </c>
      <c r="DA7" s="67" t="s">
        <v>159</v>
      </c>
      <c r="DB7" s="67" t="s">
        <v>159</v>
      </c>
      <c r="DC7" s="67" t="s">
        <v>159</v>
      </c>
      <c r="DD7" s="76" t="s">
        <v>170</v>
      </c>
      <c r="DE7" s="76"/>
      <c r="DF7" s="67" t="s">
        <v>159</v>
      </c>
      <c r="DG7" s="67" t="s">
        <v>159</v>
      </c>
      <c r="DH7" s="76"/>
      <c r="DI7" s="67" t="s">
        <v>159</v>
      </c>
      <c r="DJ7" s="67" t="s">
        <v>159</v>
      </c>
      <c r="DK7" s="76" t="s">
        <v>170</v>
      </c>
      <c r="DL7" s="67" t="s">
        <v>159</v>
      </c>
      <c r="DM7" s="76" t="s">
        <v>159</v>
      </c>
      <c r="DN7" s="63" t="s">
        <v>159</v>
      </c>
      <c r="DO7" s="76"/>
      <c r="DP7" s="63" t="s">
        <v>159</v>
      </c>
      <c r="DQ7" s="63" t="s">
        <v>159</v>
      </c>
      <c r="DR7" s="76"/>
      <c r="DS7" s="76" t="s">
        <v>166</v>
      </c>
      <c r="DT7" s="63" t="s">
        <v>159</v>
      </c>
      <c r="DU7" s="76" t="s">
        <v>167</v>
      </c>
      <c r="DV7" s="74"/>
      <c r="DW7" s="77"/>
      <c r="DX7" s="77"/>
      <c r="DY7" s="83" t="s">
        <v>171</v>
      </c>
      <c r="DZ7" s="83" t="s">
        <v>171</v>
      </c>
      <c r="EA7" s="84" t="s">
        <v>171</v>
      </c>
      <c r="EB7" s="76" t="s">
        <v>158</v>
      </c>
      <c r="EC7" s="63" t="s">
        <v>158</v>
      </c>
      <c r="ED7" s="85" t="s">
        <v>396</v>
      </c>
      <c r="EE7" s="85" t="s">
        <v>397</v>
      </c>
      <c r="EF7" s="85" t="s">
        <v>172</v>
      </c>
      <c r="EG7" s="84" t="s">
        <v>161</v>
      </c>
      <c r="EH7" s="85"/>
      <c r="EI7" s="85" t="s">
        <v>159</v>
      </c>
      <c r="EJ7" s="85" t="s">
        <v>159</v>
      </c>
      <c r="EK7" s="85"/>
      <c r="EL7" s="85" t="s">
        <v>159</v>
      </c>
      <c r="EM7" s="85" t="s">
        <v>159</v>
      </c>
      <c r="EN7" s="85" t="s">
        <v>159</v>
      </c>
      <c r="EO7" s="85" t="s">
        <v>159</v>
      </c>
      <c r="EP7" s="85" t="s">
        <v>159</v>
      </c>
      <c r="EQ7" s="85" t="s">
        <v>159</v>
      </c>
      <c r="ER7" s="85" t="s">
        <v>159</v>
      </c>
      <c r="ES7" s="73"/>
      <c r="ET7" s="85" t="s">
        <v>159</v>
      </c>
      <c r="EU7" s="73"/>
      <c r="EV7" s="85" t="s">
        <v>159</v>
      </c>
      <c r="EW7" s="85" t="s">
        <v>159</v>
      </c>
      <c r="EX7" s="85" t="s">
        <v>159</v>
      </c>
      <c r="EY7" s="85" t="s">
        <v>159</v>
      </c>
      <c r="EZ7" s="85" t="s">
        <v>159</v>
      </c>
      <c r="FA7" s="86" t="s">
        <v>161</v>
      </c>
      <c r="FB7" s="86" t="s">
        <v>161</v>
      </c>
      <c r="FC7" s="87" t="s">
        <v>173</v>
      </c>
      <c r="FD7" s="87" t="s">
        <v>173</v>
      </c>
      <c r="FE7" s="87" t="s">
        <v>173</v>
      </c>
      <c r="FF7" s="87" t="s">
        <v>173</v>
      </c>
      <c r="FG7" s="87" t="s">
        <v>173</v>
      </c>
      <c r="FH7" s="87" t="s">
        <v>173</v>
      </c>
      <c r="FI7" s="87" t="s">
        <v>173</v>
      </c>
      <c r="FJ7" s="87" t="s">
        <v>173</v>
      </c>
      <c r="FK7" s="87" t="s">
        <v>173</v>
      </c>
      <c r="FL7" s="87" t="s">
        <v>173</v>
      </c>
      <c r="FM7" s="87" t="s">
        <v>173</v>
      </c>
      <c r="FN7" s="87" t="s">
        <v>173</v>
      </c>
      <c r="FO7" s="87" t="s">
        <v>173</v>
      </c>
      <c r="FP7" s="87" t="s">
        <v>173</v>
      </c>
      <c r="FQ7" s="87" t="s">
        <v>173</v>
      </c>
      <c r="FR7" s="87" t="s">
        <v>173</v>
      </c>
      <c r="FS7" s="87" t="s">
        <v>173</v>
      </c>
      <c r="FT7" s="87" t="s">
        <v>173</v>
      </c>
      <c r="FU7" s="74"/>
      <c r="FV7" s="83" t="s">
        <v>174</v>
      </c>
      <c r="FW7" s="83"/>
      <c r="FX7" s="83"/>
      <c r="FY7" s="83" t="s">
        <v>159</v>
      </c>
      <c r="FZ7" s="87" t="s">
        <v>164</v>
      </c>
      <c r="GA7" s="87" t="s">
        <v>164</v>
      </c>
      <c r="GB7" s="87" t="s">
        <v>164</v>
      </c>
      <c r="GC7" s="87" t="s">
        <v>164</v>
      </c>
      <c r="GD7" s="85"/>
      <c r="GE7" s="83"/>
      <c r="GF7" s="83"/>
      <c r="GG7" s="83" t="s">
        <v>171</v>
      </c>
      <c r="GH7" s="83" t="s">
        <v>159</v>
      </c>
      <c r="GI7" s="83" t="s">
        <v>159</v>
      </c>
      <c r="GJ7" s="83" t="s">
        <v>159</v>
      </c>
      <c r="GK7" s="83" t="s">
        <v>175</v>
      </c>
      <c r="GL7" s="83" t="s">
        <v>175</v>
      </c>
      <c r="GM7" s="87"/>
      <c r="GN7" s="83" t="s">
        <v>159</v>
      </c>
      <c r="GO7" s="83" t="s">
        <v>159</v>
      </c>
      <c r="GP7" s="87"/>
      <c r="GQ7" s="83" t="s">
        <v>159</v>
      </c>
      <c r="GR7" s="83" t="s">
        <v>159</v>
      </c>
      <c r="GS7" s="83" t="s">
        <v>159</v>
      </c>
      <c r="GT7" s="83" t="s">
        <v>159</v>
      </c>
    </row>
    <row r="8" spans="1:202" s="91" customFormat="1" ht="23.25">
      <c r="A8" s="89">
        <v>1</v>
      </c>
      <c r="B8" s="89">
        <f aca="true" t="shared" si="0" ref="B8:BJ8">1+A8</f>
        <v>2</v>
      </c>
      <c r="C8" s="90">
        <f t="shared" si="0"/>
        <v>3</v>
      </c>
      <c r="D8" s="90">
        <f t="shared" si="0"/>
        <v>4</v>
      </c>
      <c r="E8" s="89">
        <f t="shared" si="0"/>
        <v>5</v>
      </c>
      <c r="F8" s="90">
        <f t="shared" si="0"/>
        <v>6</v>
      </c>
      <c r="G8" s="90">
        <f t="shared" si="0"/>
        <v>7</v>
      </c>
      <c r="H8" s="90">
        <f t="shared" si="0"/>
        <v>8</v>
      </c>
      <c r="I8" s="90">
        <f t="shared" si="0"/>
        <v>9</v>
      </c>
      <c r="J8" s="90">
        <f t="shared" si="0"/>
        <v>10</v>
      </c>
      <c r="K8" s="90">
        <f t="shared" si="0"/>
        <v>11</v>
      </c>
      <c r="L8" s="90">
        <f t="shared" si="0"/>
        <v>12</v>
      </c>
      <c r="M8" s="90">
        <f t="shared" si="0"/>
        <v>13</v>
      </c>
      <c r="N8" s="90">
        <f t="shared" si="0"/>
        <v>14</v>
      </c>
      <c r="O8" s="90">
        <f t="shared" si="0"/>
        <v>15</v>
      </c>
      <c r="P8" s="90">
        <f t="shared" si="0"/>
        <v>16</v>
      </c>
      <c r="Q8" s="90">
        <f t="shared" si="0"/>
        <v>17</v>
      </c>
      <c r="R8" s="90">
        <f t="shared" si="0"/>
        <v>18</v>
      </c>
      <c r="S8" s="90">
        <f t="shared" si="0"/>
        <v>19</v>
      </c>
      <c r="T8" s="90">
        <f t="shared" si="0"/>
        <v>20</v>
      </c>
      <c r="U8" s="90">
        <f t="shared" si="0"/>
        <v>21</v>
      </c>
      <c r="V8" s="90">
        <f t="shared" si="0"/>
        <v>22</v>
      </c>
      <c r="W8" s="90">
        <f t="shared" si="0"/>
        <v>23</v>
      </c>
      <c r="X8" s="90">
        <f t="shared" si="0"/>
        <v>24</v>
      </c>
      <c r="Y8" s="90">
        <f t="shared" si="0"/>
        <v>25</v>
      </c>
      <c r="Z8" s="90">
        <f t="shared" si="0"/>
        <v>26</v>
      </c>
      <c r="AA8" s="90">
        <f t="shared" si="0"/>
        <v>27</v>
      </c>
      <c r="AB8" s="90">
        <f t="shared" si="0"/>
        <v>28</v>
      </c>
      <c r="AC8" s="90">
        <f t="shared" si="0"/>
        <v>29</v>
      </c>
      <c r="AD8" s="90">
        <f t="shared" si="0"/>
        <v>30</v>
      </c>
      <c r="AE8" s="90">
        <f t="shared" si="0"/>
        <v>31</v>
      </c>
      <c r="AF8" s="90">
        <f t="shared" si="0"/>
        <v>32</v>
      </c>
      <c r="AG8" s="90">
        <f t="shared" si="0"/>
        <v>33</v>
      </c>
      <c r="AH8" s="90">
        <f t="shared" si="0"/>
        <v>34</v>
      </c>
      <c r="AI8" s="90">
        <f t="shared" si="0"/>
        <v>35</v>
      </c>
      <c r="AJ8" s="90">
        <f t="shared" si="0"/>
        <v>36</v>
      </c>
      <c r="AK8" s="90">
        <f t="shared" si="0"/>
        <v>37</v>
      </c>
      <c r="AL8" s="90">
        <f t="shared" si="0"/>
        <v>38</v>
      </c>
      <c r="AM8" s="90">
        <f t="shared" si="0"/>
        <v>39</v>
      </c>
      <c r="AN8" s="90">
        <f t="shared" si="0"/>
        <v>40</v>
      </c>
      <c r="AO8" s="90">
        <f t="shared" si="0"/>
        <v>41</v>
      </c>
      <c r="AP8" s="90">
        <f t="shared" si="0"/>
        <v>42</v>
      </c>
      <c r="AQ8" s="90">
        <f t="shared" si="0"/>
        <v>43</v>
      </c>
      <c r="AR8" s="90">
        <f t="shared" si="0"/>
        <v>44</v>
      </c>
      <c r="AS8" s="90">
        <f t="shared" si="0"/>
        <v>45</v>
      </c>
      <c r="AT8" s="90">
        <f t="shared" si="0"/>
        <v>46</v>
      </c>
      <c r="AU8" s="90">
        <f t="shared" si="0"/>
        <v>47</v>
      </c>
      <c r="AV8" s="90">
        <f t="shared" si="0"/>
        <v>48</v>
      </c>
      <c r="AW8" s="90">
        <f t="shared" si="0"/>
        <v>49</v>
      </c>
      <c r="AX8" s="90">
        <f t="shared" si="0"/>
        <v>50</v>
      </c>
      <c r="AY8" s="90">
        <f t="shared" si="0"/>
        <v>51</v>
      </c>
      <c r="AZ8" s="90">
        <f t="shared" si="0"/>
        <v>52</v>
      </c>
      <c r="BA8" s="90">
        <f t="shared" si="0"/>
        <v>53</v>
      </c>
      <c r="BB8" s="90">
        <f t="shared" si="0"/>
        <v>54</v>
      </c>
      <c r="BC8" s="90">
        <f t="shared" si="0"/>
        <v>55</v>
      </c>
      <c r="BD8" s="90">
        <f t="shared" si="0"/>
        <v>56</v>
      </c>
      <c r="BE8" s="90">
        <f t="shared" si="0"/>
        <v>57</v>
      </c>
      <c r="BF8" s="90">
        <f t="shared" si="0"/>
        <v>58</v>
      </c>
      <c r="BG8" s="90">
        <f t="shared" si="0"/>
        <v>59</v>
      </c>
      <c r="BH8" s="90">
        <f t="shared" si="0"/>
        <v>60</v>
      </c>
      <c r="BI8" s="90">
        <f t="shared" si="0"/>
        <v>61</v>
      </c>
      <c r="BJ8" s="90">
        <f t="shared" si="0"/>
        <v>62</v>
      </c>
      <c r="BK8" s="90">
        <f>1+BJ8</f>
        <v>63</v>
      </c>
      <c r="BL8" s="90">
        <f aca="true" t="shared" si="1" ref="BL8:DW8">1+BK8</f>
        <v>64</v>
      </c>
      <c r="BM8" s="90">
        <f t="shared" si="1"/>
        <v>65</v>
      </c>
      <c r="BN8" s="90">
        <f t="shared" si="1"/>
        <v>66</v>
      </c>
      <c r="BO8" s="90">
        <f t="shared" si="1"/>
        <v>67</v>
      </c>
      <c r="BP8" s="90">
        <f t="shared" si="1"/>
        <v>68</v>
      </c>
      <c r="BQ8" s="90">
        <f t="shared" si="1"/>
        <v>69</v>
      </c>
      <c r="BR8" s="90">
        <f t="shared" si="1"/>
        <v>70</v>
      </c>
      <c r="BS8" s="90">
        <f t="shared" si="1"/>
        <v>71</v>
      </c>
      <c r="BT8" s="90">
        <f t="shared" si="1"/>
        <v>72</v>
      </c>
      <c r="BU8" s="90">
        <f t="shared" si="1"/>
        <v>73</v>
      </c>
      <c r="BV8" s="90">
        <f t="shared" si="1"/>
        <v>74</v>
      </c>
      <c r="BW8" s="90">
        <f t="shared" si="1"/>
        <v>75</v>
      </c>
      <c r="BX8" s="90">
        <f t="shared" si="1"/>
        <v>76</v>
      </c>
      <c r="BY8" s="90">
        <f t="shared" si="1"/>
        <v>77</v>
      </c>
      <c r="BZ8" s="90">
        <f t="shared" si="1"/>
        <v>78</v>
      </c>
      <c r="CA8" s="90">
        <f t="shared" si="1"/>
        <v>79</v>
      </c>
      <c r="CB8" s="90">
        <f t="shared" si="1"/>
        <v>80</v>
      </c>
      <c r="CC8" s="90">
        <f t="shared" si="1"/>
        <v>81</v>
      </c>
      <c r="CD8" s="90">
        <f t="shared" si="1"/>
        <v>82</v>
      </c>
      <c r="CE8" s="90">
        <f t="shared" si="1"/>
        <v>83</v>
      </c>
      <c r="CF8" s="90">
        <f t="shared" si="1"/>
        <v>84</v>
      </c>
      <c r="CG8" s="90">
        <f t="shared" si="1"/>
        <v>85</v>
      </c>
      <c r="CH8" s="90">
        <f t="shared" si="1"/>
        <v>86</v>
      </c>
      <c r="CI8" s="90">
        <f t="shared" si="1"/>
        <v>87</v>
      </c>
      <c r="CJ8" s="90">
        <f t="shared" si="1"/>
        <v>88</v>
      </c>
      <c r="CK8" s="90">
        <f t="shared" si="1"/>
        <v>89</v>
      </c>
      <c r="CL8" s="90">
        <f t="shared" si="1"/>
        <v>90</v>
      </c>
      <c r="CM8" s="90">
        <f t="shared" si="1"/>
        <v>91</v>
      </c>
      <c r="CN8" s="90">
        <f t="shared" si="1"/>
        <v>92</v>
      </c>
      <c r="CO8" s="90">
        <f t="shared" si="1"/>
        <v>93</v>
      </c>
      <c r="CP8" s="90">
        <f t="shared" si="1"/>
        <v>94</v>
      </c>
      <c r="CQ8" s="90">
        <f t="shared" si="1"/>
        <v>95</v>
      </c>
      <c r="CR8" s="90">
        <f t="shared" si="1"/>
        <v>96</v>
      </c>
      <c r="CS8" s="90">
        <f t="shared" si="1"/>
        <v>97</v>
      </c>
      <c r="CT8" s="90">
        <f t="shared" si="1"/>
        <v>98</v>
      </c>
      <c r="CU8" s="90">
        <f t="shared" si="1"/>
        <v>99</v>
      </c>
      <c r="CV8" s="90">
        <f t="shared" si="1"/>
        <v>100</v>
      </c>
      <c r="CW8" s="90">
        <f t="shared" si="1"/>
        <v>101</v>
      </c>
      <c r="CX8" s="90">
        <f t="shared" si="1"/>
        <v>102</v>
      </c>
      <c r="CY8" s="90">
        <f t="shared" si="1"/>
        <v>103</v>
      </c>
      <c r="CZ8" s="90">
        <f t="shared" si="1"/>
        <v>104</v>
      </c>
      <c r="DA8" s="90">
        <f t="shared" si="1"/>
        <v>105</v>
      </c>
      <c r="DB8" s="90">
        <f t="shared" si="1"/>
        <v>106</v>
      </c>
      <c r="DC8" s="90">
        <f t="shared" si="1"/>
        <v>107</v>
      </c>
      <c r="DD8" s="90">
        <f t="shared" si="1"/>
        <v>108</v>
      </c>
      <c r="DE8" s="90">
        <f t="shared" si="1"/>
        <v>109</v>
      </c>
      <c r="DF8" s="90">
        <f t="shared" si="1"/>
        <v>110</v>
      </c>
      <c r="DG8" s="90">
        <f t="shared" si="1"/>
        <v>111</v>
      </c>
      <c r="DH8" s="90">
        <f t="shared" si="1"/>
        <v>112</v>
      </c>
      <c r="DI8" s="90">
        <f t="shared" si="1"/>
        <v>113</v>
      </c>
      <c r="DJ8" s="90">
        <f t="shared" si="1"/>
        <v>114</v>
      </c>
      <c r="DK8" s="90">
        <f t="shared" si="1"/>
        <v>115</v>
      </c>
      <c r="DL8" s="90">
        <f t="shared" si="1"/>
        <v>116</v>
      </c>
      <c r="DM8" s="90">
        <f t="shared" si="1"/>
        <v>117</v>
      </c>
      <c r="DN8" s="90">
        <f t="shared" si="1"/>
        <v>118</v>
      </c>
      <c r="DO8" s="90">
        <f t="shared" si="1"/>
        <v>119</v>
      </c>
      <c r="DP8" s="90">
        <f t="shared" si="1"/>
        <v>120</v>
      </c>
      <c r="DQ8" s="90">
        <f t="shared" si="1"/>
        <v>121</v>
      </c>
      <c r="DR8" s="90">
        <f t="shared" si="1"/>
        <v>122</v>
      </c>
      <c r="DS8" s="90">
        <f t="shared" si="1"/>
        <v>123</v>
      </c>
      <c r="DT8" s="90">
        <f t="shared" si="1"/>
        <v>124</v>
      </c>
      <c r="DU8" s="90">
        <f t="shared" si="1"/>
        <v>125</v>
      </c>
      <c r="DV8" s="90">
        <f t="shared" si="1"/>
        <v>126</v>
      </c>
      <c r="DW8" s="90">
        <f t="shared" si="1"/>
        <v>127</v>
      </c>
      <c r="DX8" s="90">
        <f aca="true" t="shared" si="2" ref="DX8:GI8">1+DW8</f>
        <v>128</v>
      </c>
      <c r="DY8" s="90">
        <f t="shared" si="2"/>
        <v>129</v>
      </c>
      <c r="DZ8" s="90">
        <f t="shared" si="2"/>
        <v>130</v>
      </c>
      <c r="EA8" s="90">
        <f t="shared" si="2"/>
        <v>131</v>
      </c>
      <c r="EB8" s="90">
        <f t="shared" si="2"/>
        <v>132</v>
      </c>
      <c r="EC8" s="90">
        <f t="shared" si="2"/>
        <v>133</v>
      </c>
      <c r="ED8" s="90">
        <f t="shared" si="2"/>
        <v>134</v>
      </c>
      <c r="EE8" s="90">
        <f t="shared" si="2"/>
        <v>135</v>
      </c>
      <c r="EF8" s="90">
        <f t="shared" si="2"/>
        <v>136</v>
      </c>
      <c r="EG8" s="90">
        <f t="shared" si="2"/>
        <v>137</v>
      </c>
      <c r="EH8" s="90">
        <f t="shared" si="2"/>
        <v>138</v>
      </c>
      <c r="EI8" s="90">
        <f t="shared" si="2"/>
        <v>139</v>
      </c>
      <c r="EJ8" s="90">
        <f t="shared" si="2"/>
        <v>140</v>
      </c>
      <c r="EK8" s="90">
        <f t="shared" si="2"/>
        <v>141</v>
      </c>
      <c r="EL8" s="90">
        <f t="shared" si="2"/>
        <v>142</v>
      </c>
      <c r="EM8" s="90">
        <f t="shared" si="2"/>
        <v>143</v>
      </c>
      <c r="EN8" s="90">
        <f t="shared" si="2"/>
        <v>144</v>
      </c>
      <c r="EO8" s="90">
        <f t="shared" si="2"/>
        <v>145</v>
      </c>
      <c r="EP8" s="90">
        <f t="shared" si="2"/>
        <v>146</v>
      </c>
      <c r="EQ8" s="90">
        <f t="shared" si="2"/>
        <v>147</v>
      </c>
      <c r="ER8" s="90">
        <f t="shared" si="2"/>
        <v>148</v>
      </c>
      <c r="ES8" s="90">
        <f t="shared" si="2"/>
        <v>149</v>
      </c>
      <c r="ET8" s="90">
        <f t="shared" si="2"/>
        <v>150</v>
      </c>
      <c r="EU8" s="90">
        <f t="shared" si="2"/>
        <v>151</v>
      </c>
      <c r="EV8" s="90">
        <f t="shared" si="2"/>
        <v>152</v>
      </c>
      <c r="EW8" s="90">
        <f t="shared" si="2"/>
        <v>153</v>
      </c>
      <c r="EX8" s="90">
        <f t="shared" si="2"/>
        <v>154</v>
      </c>
      <c r="EY8" s="90">
        <f t="shared" si="2"/>
        <v>155</v>
      </c>
      <c r="EZ8" s="90">
        <f t="shared" si="2"/>
        <v>156</v>
      </c>
      <c r="FA8" s="90">
        <f t="shared" si="2"/>
        <v>157</v>
      </c>
      <c r="FB8" s="90">
        <f t="shared" si="2"/>
        <v>158</v>
      </c>
      <c r="FC8" s="90">
        <f t="shared" si="2"/>
        <v>159</v>
      </c>
      <c r="FD8" s="90">
        <f t="shared" si="2"/>
        <v>160</v>
      </c>
      <c r="FE8" s="90">
        <f t="shared" si="2"/>
        <v>161</v>
      </c>
      <c r="FF8" s="90">
        <f t="shared" si="2"/>
        <v>162</v>
      </c>
      <c r="FG8" s="90">
        <f t="shared" si="2"/>
        <v>163</v>
      </c>
      <c r="FH8" s="90">
        <f t="shared" si="2"/>
        <v>164</v>
      </c>
      <c r="FI8" s="90">
        <f t="shared" si="2"/>
        <v>165</v>
      </c>
      <c r="FJ8" s="90">
        <f t="shared" si="2"/>
        <v>166</v>
      </c>
      <c r="FK8" s="90">
        <f t="shared" si="2"/>
        <v>167</v>
      </c>
      <c r="FL8" s="90">
        <f t="shared" si="2"/>
        <v>168</v>
      </c>
      <c r="FM8" s="90">
        <f t="shared" si="2"/>
        <v>169</v>
      </c>
      <c r="FN8" s="90">
        <f t="shared" si="2"/>
        <v>170</v>
      </c>
      <c r="FO8" s="90">
        <f t="shared" si="2"/>
        <v>171</v>
      </c>
      <c r="FP8" s="90">
        <f t="shared" si="2"/>
        <v>172</v>
      </c>
      <c r="FQ8" s="90">
        <f t="shared" si="2"/>
        <v>173</v>
      </c>
      <c r="FR8" s="90">
        <f t="shared" si="2"/>
        <v>174</v>
      </c>
      <c r="FS8" s="90">
        <f t="shared" si="2"/>
        <v>175</v>
      </c>
      <c r="FT8" s="90">
        <f t="shared" si="2"/>
        <v>176</v>
      </c>
      <c r="FU8" s="90">
        <f t="shared" si="2"/>
        <v>177</v>
      </c>
      <c r="FV8" s="90">
        <f t="shared" si="2"/>
        <v>178</v>
      </c>
      <c r="FW8" s="90">
        <f t="shared" si="2"/>
        <v>179</v>
      </c>
      <c r="FX8" s="90">
        <f t="shared" si="2"/>
        <v>180</v>
      </c>
      <c r="FY8" s="90">
        <f t="shared" si="2"/>
        <v>181</v>
      </c>
      <c r="FZ8" s="90">
        <f t="shared" si="2"/>
        <v>182</v>
      </c>
      <c r="GA8" s="90">
        <f t="shared" si="2"/>
        <v>183</v>
      </c>
      <c r="GB8" s="90">
        <f t="shared" si="2"/>
        <v>184</v>
      </c>
      <c r="GC8" s="90">
        <f t="shared" si="2"/>
        <v>185</v>
      </c>
      <c r="GD8" s="90">
        <f t="shared" si="2"/>
        <v>186</v>
      </c>
      <c r="GE8" s="90">
        <f t="shared" si="2"/>
        <v>187</v>
      </c>
      <c r="GF8" s="90">
        <f t="shared" si="2"/>
        <v>188</v>
      </c>
      <c r="GG8" s="90">
        <f t="shared" si="2"/>
        <v>189</v>
      </c>
      <c r="GH8" s="90">
        <f t="shared" si="2"/>
        <v>190</v>
      </c>
      <c r="GI8" s="90">
        <f t="shared" si="2"/>
        <v>191</v>
      </c>
      <c r="GJ8" s="90">
        <f aca="true" t="shared" si="3" ref="GJ8:GT8">1+GI8</f>
        <v>192</v>
      </c>
      <c r="GK8" s="90">
        <f t="shared" si="3"/>
        <v>193</v>
      </c>
      <c r="GL8" s="90">
        <f t="shared" si="3"/>
        <v>194</v>
      </c>
      <c r="GM8" s="90">
        <f t="shared" si="3"/>
        <v>195</v>
      </c>
      <c r="GN8" s="90">
        <f t="shared" si="3"/>
        <v>196</v>
      </c>
      <c r="GO8" s="90">
        <f t="shared" si="3"/>
        <v>197</v>
      </c>
      <c r="GP8" s="90">
        <f t="shared" si="3"/>
        <v>198</v>
      </c>
      <c r="GQ8" s="90">
        <f t="shared" si="3"/>
        <v>199</v>
      </c>
      <c r="GR8" s="90">
        <f t="shared" si="3"/>
        <v>200</v>
      </c>
      <c r="GS8" s="90">
        <f t="shared" si="3"/>
        <v>201</v>
      </c>
      <c r="GT8" s="90">
        <f t="shared" si="3"/>
        <v>202</v>
      </c>
    </row>
    <row r="9" spans="1:202" ht="27" customHeight="1">
      <c r="A9" s="92">
        <v>8</v>
      </c>
      <c r="B9" s="93" t="s">
        <v>176</v>
      </c>
      <c r="C9" s="94" t="s">
        <v>177</v>
      </c>
      <c r="D9" s="94" t="s">
        <v>177</v>
      </c>
      <c r="E9" s="94" t="s">
        <v>177</v>
      </c>
      <c r="F9" s="95" t="s">
        <v>178</v>
      </c>
      <c r="G9" s="96">
        <v>259370</v>
      </c>
      <c r="H9" s="96">
        <v>1581550</v>
      </c>
      <c r="I9" s="59" t="s">
        <v>179</v>
      </c>
      <c r="J9" s="59" t="s">
        <v>180</v>
      </c>
      <c r="K9" s="95">
        <v>85000</v>
      </c>
      <c r="L9" s="95">
        <v>67410</v>
      </c>
      <c r="M9" s="59">
        <v>2525</v>
      </c>
      <c r="N9" s="59" t="s">
        <v>181</v>
      </c>
      <c r="O9" s="95">
        <v>1500</v>
      </c>
      <c r="P9" s="59">
        <v>24</v>
      </c>
      <c r="Q9" s="59">
        <v>8</v>
      </c>
      <c r="R9" s="59" t="s">
        <v>182</v>
      </c>
      <c r="S9" s="97" t="s">
        <v>183</v>
      </c>
      <c r="T9" s="59" t="s">
        <v>184</v>
      </c>
      <c r="U9" s="98">
        <v>229</v>
      </c>
      <c r="V9" s="99">
        <v>3.452</v>
      </c>
      <c r="W9" s="98">
        <v>242.5</v>
      </c>
      <c r="X9" s="99">
        <v>196.67</v>
      </c>
      <c r="Y9" s="98">
        <v>229</v>
      </c>
      <c r="Z9" s="99">
        <v>121.4</v>
      </c>
      <c r="AA9" s="59">
        <v>2538</v>
      </c>
      <c r="AB9" s="59">
        <v>2543</v>
      </c>
      <c r="AC9" s="59" t="s">
        <v>270</v>
      </c>
      <c r="AD9" s="59">
        <v>0.6</v>
      </c>
      <c r="AE9" s="100" t="s">
        <v>271</v>
      </c>
      <c r="AF9" s="59">
        <v>0.15</v>
      </c>
      <c r="AG9" s="59"/>
      <c r="AH9" s="59"/>
      <c r="AI9" s="59" t="s">
        <v>185</v>
      </c>
      <c r="AJ9" s="59" t="s">
        <v>185</v>
      </c>
      <c r="AK9" s="59" t="s">
        <v>185</v>
      </c>
      <c r="AL9" s="59" t="s">
        <v>185</v>
      </c>
      <c r="AM9" s="59" t="s">
        <v>185</v>
      </c>
      <c r="AN9" s="59" t="s">
        <v>185</v>
      </c>
      <c r="AO9" s="59" t="s">
        <v>185</v>
      </c>
      <c r="AP9" s="59" t="s">
        <v>185</v>
      </c>
      <c r="AQ9" s="59" t="s">
        <v>185</v>
      </c>
      <c r="AR9" s="59" t="s">
        <v>185</v>
      </c>
      <c r="AS9" s="59" t="s">
        <v>185</v>
      </c>
      <c r="AT9" s="59" t="s">
        <v>185</v>
      </c>
      <c r="AU9" s="59" t="s">
        <v>185</v>
      </c>
      <c r="AV9" s="59" t="s">
        <v>185</v>
      </c>
      <c r="AW9" s="59" t="s">
        <v>185</v>
      </c>
      <c r="AX9" s="59" t="s">
        <v>185</v>
      </c>
      <c r="AY9" s="59" t="s">
        <v>185</v>
      </c>
      <c r="AZ9" s="59" t="s">
        <v>185</v>
      </c>
      <c r="BA9" s="59" t="s">
        <v>185</v>
      </c>
      <c r="BB9" s="59" t="s">
        <v>185</v>
      </c>
      <c r="BC9" s="59" t="s">
        <v>185</v>
      </c>
      <c r="BD9" s="59" t="s">
        <v>185</v>
      </c>
      <c r="BE9" s="59" t="s">
        <v>185</v>
      </c>
      <c r="BF9" s="59" t="s">
        <v>185</v>
      </c>
      <c r="BG9" s="59" t="s">
        <v>185</v>
      </c>
      <c r="BH9" s="59" t="s">
        <v>185</v>
      </c>
      <c r="BI9" s="59" t="s">
        <v>185</v>
      </c>
      <c r="BJ9" s="59" t="s">
        <v>185</v>
      </c>
      <c r="BK9" s="59" t="s">
        <v>185</v>
      </c>
      <c r="BL9" s="59" t="s">
        <v>185</v>
      </c>
      <c r="BM9" s="59" t="s">
        <v>185</v>
      </c>
      <c r="BN9" s="59" t="s">
        <v>185</v>
      </c>
      <c r="BO9" s="59" t="s">
        <v>185</v>
      </c>
      <c r="BP9" s="59" t="s">
        <v>185</v>
      </c>
      <c r="BQ9" s="59" t="s">
        <v>185</v>
      </c>
      <c r="BR9" s="59" t="s">
        <v>185</v>
      </c>
      <c r="BS9" s="59" t="s">
        <v>185</v>
      </c>
      <c r="BT9" s="59" t="s">
        <v>185</v>
      </c>
      <c r="BU9" s="59" t="s">
        <v>185</v>
      </c>
      <c r="BV9" s="59" t="s">
        <v>185</v>
      </c>
      <c r="BW9" s="59" t="s">
        <v>185</v>
      </c>
      <c r="BX9" s="59" t="s">
        <v>185</v>
      </c>
      <c r="BY9" s="59" t="s">
        <v>185</v>
      </c>
      <c r="BZ9" s="59" t="s">
        <v>185</v>
      </c>
      <c r="CA9" s="59" t="s">
        <v>185</v>
      </c>
      <c r="CB9" s="59" t="s">
        <v>185</v>
      </c>
      <c r="CC9" s="59" t="s">
        <v>185</v>
      </c>
      <c r="CD9" s="59">
        <v>1</v>
      </c>
      <c r="CE9" s="59" t="s">
        <v>275</v>
      </c>
      <c r="CF9" s="59">
        <v>1</v>
      </c>
      <c r="CG9" s="59" t="s">
        <v>185</v>
      </c>
      <c r="CH9" s="59" t="s">
        <v>185</v>
      </c>
      <c r="CI9" s="59">
        <v>1</v>
      </c>
      <c r="CJ9" s="59">
        <v>1.5</v>
      </c>
      <c r="CK9" s="59">
        <v>50.4</v>
      </c>
      <c r="CL9" s="59">
        <v>4</v>
      </c>
      <c r="CM9" s="59">
        <v>1</v>
      </c>
      <c r="CN9" s="59" t="s">
        <v>275</v>
      </c>
      <c r="CO9" s="59">
        <v>1</v>
      </c>
      <c r="CP9" s="59" t="s">
        <v>185</v>
      </c>
      <c r="CQ9" s="59" t="s">
        <v>185</v>
      </c>
      <c r="CR9" s="59">
        <v>1</v>
      </c>
      <c r="CS9" s="59">
        <v>1.5</v>
      </c>
      <c r="CT9" s="59">
        <v>50.4</v>
      </c>
      <c r="CU9" s="59">
        <v>8.2</v>
      </c>
      <c r="CV9" s="59" t="s">
        <v>272</v>
      </c>
      <c r="CW9" s="59">
        <v>90</v>
      </c>
      <c r="CX9" s="59" t="s">
        <v>185</v>
      </c>
      <c r="CY9" s="59" t="s">
        <v>185</v>
      </c>
      <c r="CZ9" s="59" t="s">
        <v>185</v>
      </c>
      <c r="DA9" s="59" t="s">
        <v>185</v>
      </c>
      <c r="DB9" s="59" t="s">
        <v>185</v>
      </c>
      <c r="DC9" s="59" t="s">
        <v>185</v>
      </c>
      <c r="DD9" s="59">
        <v>650</v>
      </c>
      <c r="DE9" s="59" t="s">
        <v>185</v>
      </c>
      <c r="DF9" s="59" t="s">
        <v>185</v>
      </c>
      <c r="DG9" s="59" t="s">
        <v>185</v>
      </c>
      <c r="DH9" s="59" t="s">
        <v>185</v>
      </c>
      <c r="DI9" s="59" t="s">
        <v>185</v>
      </c>
      <c r="DJ9" s="59" t="s">
        <v>185</v>
      </c>
      <c r="DK9" s="59" t="s">
        <v>185</v>
      </c>
      <c r="DL9" s="59" t="s">
        <v>185</v>
      </c>
      <c r="DM9" s="59" t="s">
        <v>185</v>
      </c>
      <c r="DN9" s="59" t="s">
        <v>185</v>
      </c>
      <c r="DO9" s="59" t="s">
        <v>185</v>
      </c>
      <c r="DP9" s="59" t="s">
        <v>185</v>
      </c>
      <c r="DQ9" s="59" t="s">
        <v>185</v>
      </c>
      <c r="DR9" s="59" t="s">
        <v>185</v>
      </c>
      <c r="DS9" s="59" t="s">
        <v>185</v>
      </c>
      <c r="DT9" s="59" t="s">
        <v>185</v>
      </c>
      <c r="DU9" s="59" t="s">
        <v>185</v>
      </c>
      <c r="DV9" s="167" t="s">
        <v>282</v>
      </c>
      <c r="DW9" s="167" t="s">
        <v>284</v>
      </c>
      <c r="DX9" s="59" t="s">
        <v>285</v>
      </c>
      <c r="DY9" s="176" t="s">
        <v>286</v>
      </c>
      <c r="DZ9" s="176" t="s">
        <v>461</v>
      </c>
      <c r="EA9" s="168">
        <f>2.1-0</f>
        <v>2.1</v>
      </c>
      <c r="EB9" s="59">
        <v>2538</v>
      </c>
      <c r="EC9" s="167" t="s">
        <v>185</v>
      </c>
      <c r="ED9" s="177">
        <v>3.998</v>
      </c>
      <c r="EE9" s="177">
        <v>5.74</v>
      </c>
      <c r="EF9" s="177">
        <v>0.697</v>
      </c>
      <c r="EG9" s="202" t="s">
        <v>301</v>
      </c>
      <c r="EH9" s="169" t="s">
        <v>399</v>
      </c>
      <c r="EI9" s="178">
        <v>2</v>
      </c>
      <c r="EJ9" s="178">
        <v>1.4</v>
      </c>
      <c r="EK9" s="177">
        <v>0.014</v>
      </c>
      <c r="EL9" s="177">
        <v>0.814</v>
      </c>
      <c r="EM9" s="179">
        <v>0.06</v>
      </c>
      <c r="EN9" s="178">
        <v>1.65</v>
      </c>
      <c r="EO9" s="103">
        <f aca="true" t="shared" si="4" ref="EO9:EO62">+EN9-EJ9</f>
        <v>0.25</v>
      </c>
      <c r="EP9" s="59">
        <v>0.15</v>
      </c>
      <c r="EQ9" s="178">
        <v>2</v>
      </c>
      <c r="ER9" s="178">
        <v>2</v>
      </c>
      <c r="ES9" s="167"/>
      <c r="ET9" s="178">
        <v>2</v>
      </c>
      <c r="EU9" s="167"/>
      <c r="EV9" s="203">
        <v>6</v>
      </c>
      <c r="EW9" s="178">
        <v>15</v>
      </c>
      <c r="EX9" s="178">
        <v>20</v>
      </c>
      <c r="EY9" s="168"/>
      <c r="EZ9" s="170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</row>
    <row r="10" spans="1:202" ht="27" customHeight="1">
      <c r="A10" s="92"/>
      <c r="B10" s="93"/>
      <c r="C10" s="94"/>
      <c r="D10" s="94"/>
      <c r="E10" s="94"/>
      <c r="F10" s="95"/>
      <c r="G10" s="96"/>
      <c r="H10" s="96"/>
      <c r="I10" s="59"/>
      <c r="J10" s="59"/>
      <c r="K10" s="95"/>
      <c r="L10" s="95"/>
      <c r="M10" s="59"/>
      <c r="N10" s="59"/>
      <c r="O10" s="95"/>
      <c r="P10" s="59"/>
      <c r="Q10" s="59"/>
      <c r="R10" s="59"/>
      <c r="S10" s="97"/>
      <c r="T10" s="59"/>
      <c r="U10" s="98"/>
      <c r="V10" s="99"/>
      <c r="W10" s="98"/>
      <c r="X10" s="99"/>
      <c r="Y10" s="98"/>
      <c r="Z10" s="99"/>
      <c r="AA10" s="59"/>
      <c r="AB10" s="59"/>
      <c r="AC10" s="59"/>
      <c r="AD10" s="59"/>
      <c r="AE10" s="100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167" t="s">
        <v>282</v>
      </c>
      <c r="DW10" s="167" t="s">
        <v>385</v>
      </c>
      <c r="DX10" s="59" t="s">
        <v>285</v>
      </c>
      <c r="DY10" s="181" t="s">
        <v>461</v>
      </c>
      <c r="DZ10" s="181" t="s">
        <v>462</v>
      </c>
      <c r="EA10" s="168">
        <f>2.78-2.1</f>
        <v>0.6799999999999997</v>
      </c>
      <c r="EB10" s="59">
        <v>2538</v>
      </c>
      <c r="EC10" s="167" t="s">
        <v>185</v>
      </c>
      <c r="ED10" s="177">
        <v>3.998</v>
      </c>
      <c r="EE10" s="177">
        <v>5.74</v>
      </c>
      <c r="EF10" s="177">
        <v>0.697</v>
      </c>
      <c r="EG10" s="183" t="s">
        <v>510</v>
      </c>
      <c r="EH10" s="169" t="s">
        <v>399</v>
      </c>
      <c r="EI10" s="178">
        <v>2</v>
      </c>
      <c r="EJ10" s="178">
        <v>1.4</v>
      </c>
      <c r="EK10" s="177">
        <v>0.014</v>
      </c>
      <c r="EL10" s="177">
        <v>0.814</v>
      </c>
      <c r="EM10" s="179">
        <v>0.06</v>
      </c>
      <c r="EN10" s="178">
        <v>1.65</v>
      </c>
      <c r="EO10" s="103">
        <f t="shared" si="4"/>
        <v>0.25</v>
      </c>
      <c r="EP10" s="59">
        <v>0.15</v>
      </c>
      <c r="EQ10" s="178">
        <v>2</v>
      </c>
      <c r="ER10" s="178">
        <v>2</v>
      </c>
      <c r="ES10" s="167"/>
      <c r="ET10" s="178">
        <v>2</v>
      </c>
      <c r="EU10" s="167"/>
      <c r="EV10" s="178">
        <v>6</v>
      </c>
      <c r="EW10" s="178">
        <v>15</v>
      </c>
      <c r="EX10" s="178">
        <v>20</v>
      </c>
      <c r="EY10" s="168"/>
      <c r="EZ10" s="170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</row>
    <row r="11" spans="1:202" ht="27" customHeight="1">
      <c r="A11" s="92"/>
      <c r="B11" s="93"/>
      <c r="C11" s="94"/>
      <c r="D11" s="94"/>
      <c r="E11" s="94"/>
      <c r="F11" s="95"/>
      <c r="G11" s="96"/>
      <c r="H11" s="96"/>
      <c r="I11" s="59"/>
      <c r="J11" s="59"/>
      <c r="K11" s="95"/>
      <c r="L11" s="95"/>
      <c r="M11" s="59"/>
      <c r="N11" s="59"/>
      <c r="O11" s="95"/>
      <c r="P11" s="59"/>
      <c r="Q11" s="59"/>
      <c r="R11" s="59"/>
      <c r="S11" s="97"/>
      <c r="T11" s="59"/>
      <c r="U11" s="98"/>
      <c r="V11" s="99"/>
      <c r="W11" s="98"/>
      <c r="X11" s="99"/>
      <c r="Y11" s="98"/>
      <c r="Z11" s="99"/>
      <c r="AA11" s="59"/>
      <c r="AB11" s="59"/>
      <c r="AC11" s="59"/>
      <c r="AD11" s="59"/>
      <c r="AE11" s="100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167" t="s">
        <v>282</v>
      </c>
      <c r="DW11" s="180" t="s">
        <v>284</v>
      </c>
      <c r="DX11" s="59" t="s">
        <v>285</v>
      </c>
      <c r="DY11" s="181" t="s">
        <v>462</v>
      </c>
      <c r="DZ11" s="181" t="s">
        <v>342</v>
      </c>
      <c r="EA11" s="168">
        <f>3.5-2.78</f>
        <v>0.7200000000000002</v>
      </c>
      <c r="EB11" s="59">
        <v>2538</v>
      </c>
      <c r="EC11" s="167" t="s">
        <v>185</v>
      </c>
      <c r="ED11" s="177">
        <v>3.998</v>
      </c>
      <c r="EE11" s="177">
        <v>5.74</v>
      </c>
      <c r="EF11" s="177">
        <v>0.697</v>
      </c>
      <c r="EG11" s="182" t="s">
        <v>301</v>
      </c>
      <c r="EH11" s="169" t="s">
        <v>399</v>
      </c>
      <c r="EI11" s="178">
        <v>2</v>
      </c>
      <c r="EJ11" s="178">
        <v>1.4</v>
      </c>
      <c r="EK11" s="177">
        <v>0.014</v>
      </c>
      <c r="EL11" s="177">
        <v>0.814</v>
      </c>
      <c r="EM11" s="179">
        <v>0.06</v>
      </c>
      <c r="EN11" s="178">
        <v>1.65</v>
      </c>
      <c r="EO11" s="103">
        <f t="shared" si="4"/>
        <v>0.25</v>
      </c>
      <c r="EP11" s="59">
        <v>0.15</v>
      </c>
      <c r="EQ11" s="178">
        <v>2</v>
      </c>
      <c r="ER11" s="178">
        <v>2</v>
      </c>
      <c r="ES11" s="167"/>
      <c r="ET11" s="178">
        <v>2</v>
      </c>
      <c r="EU11" s="167"/>
      <c r="EV11" s="178">
        <v>6</v>
      </c>
      <c r="EW11" s="178">
        <v>15</v>
      </c>
      <c r="EX11" s="178">
        <v>20</v>
      </c>
      <c r="EY11" s="168"/>
      <c r="EZ11" s="170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</row>
    <row r="12" spans="1:202" ht="27" customHeight="1">
      <c r="A12" s="92"/>
      <c r="B12" s="93"/>
      <c r="C12" s="94"/>
      <c r="D12" s="94"/>
      <c r="E12" s="94"/>
      <c r="F12" s="95"/>
      <c r="G12" s="96"/>
      <c r="H12" s="96"/>
      <c r="I12" s="59"/>
      <c r="J12" s="59"/>
      <c r="K12" s="95"/>
      <c r="L12" s="95"/>
      <c r="M12" s="59"/>
      <c r="N12" s="59"/>
      <c r="O12" s="95"/>
      <c r="P12" s="59"/>
      <c r="Q12" s="59"/>
      <c r="R12" s="59"/>
      <c r="S12" s="97"/>
      <c r="T12" s="59"/>
      <c r="U12" s="98"/>
      <c r="V12" s="99"/>
      <c r="W12" s="98"/>
      <c r="X12" s="99"/>
      <c r="Y12" s="98"/>
      <c r="Z12" s="99"/>
      <c r="AA12" s="59"/>
      <c r="AB12" s="59"/>
      <c r="AC12" s="59"/>
      <c r="AD12" s="59"/>
      <c r="AE12" s="100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167" t="s">
        <v>282</v>
      </c>
      <c r="DW12" s="175" t="s">
        <v>284</v>
      </c>
      <c r="DX12" s="59" t="s">
        <v>285</v>
      </c>
      <c r="DY12" s="181" t="s">
        <v>342</v>
      </c>
      <c r="DZ12" s="181" t="s">
        <v>463</v>
      </c>
      <c r="EA12" s="168">
        <f>4.46-3.5</f>
        <v>0.96</v>
      </c>
      <c r="EB12" s="59">
        <v>2538</v>
      </c>
      <c r="EC12" s="167" t="s">
        <v>185</v>
      </c>
      <c r="ED12" s="177">
        <v>3.794</v>
      </c>
      <c r="EE12" s="177">
        <v>6.72</v>
      </c>
      <c r="EF12" s="177">
        <v>0.565</v>
      </c>
      <c r="EG12" s="183" t="s">
        <v>301</v>
      </c>
      <c r="EH12" s="169" t="s">
        <v>399</v>
      </c>
      <c r="EI12" s="178">
        <v>2.7</v>
      </c>
      <c r="EJ12" s="178">
        <v>1.4</v>
      </c>
      <c r="EK12" s="177">
        <v>0.018</v>
      </c>
      <c r="EL12" s="177">
        <v>0.867</v>
      </c>
      <c r="EM12" s="179">
        <v>0.06</v>
      </c>
      <c r="EN12" s="178">
        <v>1.65</v>
      </c>
      <c r="EO12" s="103">
        <f t="shared" si="4"/>
        <v>0.25</v>
      </c>
      <c r="EP12" s="59">
        <v>0.15</v>
      </c>
      <c r="EQ12" s="178">
        <v>2.7</v>
      </c>
      <c r="ER12" s="178">
        <v>2.7</v>
      </c>
      <c r="ES12" s="167"/>
      <c r="ET12" s="178">
        <v>2</v>
      </c>
      <c r="EU12" s="167"/>
      <c r="EV12" s="178">
        <v>6</v>
      </c>
      <c r="EW12" s="178">
        <v>15</v>
      </c>
      <c r="EX12" s="178">
        <v>20</v>
      </c>
      <c r="EY12" s="168"/>
      <c r="EZ12" s="170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</row>
    <row r="13" spans="1:202" ht="27" customHeight="1">
      <c r="A13" s="92"/>
      <c r="B13" s="93"/>
      <c r="C13" s="94"/>
      <c r="D13" s="94"/>
      <c r="E13" s="94"/>
      <c r="F13" s="95"/>
      <c r="G13" s="96"/>
      <c r="H13" s="96"/>
      <c r="I13" s="59"/>
      <c r="J13" s="59"/>
      <c r="K13" s="95"/>
      <c r="L13" s="95"/>
      <c r="M13" s="59"/>
      <c r="N13" s="59"/>
      <c r="O13" s="95"/>
      <c r="P13" s="59"/>
      <c r="Q13" s="59"/>
      <c r="R13" s="59"/>
      <c r="S13" s="97"/>
      <c r="T13" s="59"/>
      <c r="U13" s="98"/>
      <c r="V13" s="99"/>
      <c r="W13" s="98"/>
      <c r="X13" s="99"/>
      <c r="Y13" s="98"/>
      <c r="Z13" s="99"/>
      <c r="AA13" s="59"/>
      <c r="AB13" s="59"/>
      <c r="AC13" s="59"/>
      <c r="AD13" s="59"/>
      <c r="AE13" s="100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 t="s">
        <v>282</v>
      </c>
      <c r="DW13" s="192" t="s">
        <v>284</v>
      </c>
      <c r="DX13" s="59" t="s">
        <v>285</v>
      </c>
      <c r="DY13" s="191" t="s">
        <v>464</v>
      </c>
      <c r="DZ13" s="191" t="s">
        <v>465</v>
      </c>
      <c r="EA13" s="99">
        <f>6.16-4.64</f>
        <v>1.5200000000000005</v>
      </c>
      <c r="EB13" s="59">
        <v>2538</v>
      </c>
      <c r="EC13" s="59" t="s">
        <v>185</v>
      </c>
      <c r="ED13" s="185">
        <v>3.6</v>
      </c>
      <c r="EE13" s="185">
        <v>6.44</v>
      </c>
      <c r="EF13" s="185">
        <v>0.559</v>
      </c>
      <c r="EG13" s="193" t="s">
        <v>301</v>
      </c>
      <c r="EH13" s="102" t="s">
        <v>399</v>
      </c>
      <c r="EI13" s="187">
        <v>2.5</v>
      </c>
      <c r="EJ13" s="187">
        <v>1.4</v>
      </c>
      <c r="EK13" s="185">
        <v>0.018</v>
      </c>
      <c r="EL13" s="185">
        <v>0.583</v>
      </c>
      <c r="EM13" s="184">
        <v>0.06</v>
      </c>
      <c r="EN13" s="187">
        <v>1.65</v>
      </c>
      <c r="EO13" s="103">
        <f t="shared" si="4"/>
        <v>0.25</v>
      </c>
      <c r="EP13" s="59">
        <v>0.15</v>
      </c>
      <c r="EQ13" s="187">
        <v>2.5</v>
      </c>
      <c r="ER13" s="187">
        <v>2.5</v>
      </c>
      <c r="ES13" s="59"/>
      <c r="ET13" s="187">
        <v>2</v>
      </c>
      <c r="EU13" s="59"/>
      <c r="EV13" s="187">
        <v>6</v>
      </c>
      <c r="EW13" s="187">
        <v>15</v>
      </c>
      <c r="EX13" s="187">
        <v>20</v>
      </c>
      <c r="EY13" s="99"/>
      <c r="EZ13" s="170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</row>
    <row r="14" spans="1:202" ht="27" customHeight="1">
      <c r="A14" s="92"/>
      <c r="B14" s="93"/>
      <c r="C14" s="94"/>
      <c r="D14" s="94"/>
      <c r="E14" s="94"/>
      <c r="F14" s="95"/>
      <c r="G14" s="96"/>
      <c r="H14" s="96"/>
      <c r="I14" s="59"/>
      <c r="J14" s="59"/>
      <c r="K14" s="95"/>
      <c r="L14" s="95"/>
      <c r="M14" s="59"/>
      <c r="N14" s="59"/>
      <c r="O14" s="95"/>
      <c r="P14" s="59"/>
      <c r="Q14" s="59"/>
      <c r="R14" s="59"/>
      <c r="S14" s="97"/>
      <c r="T14" s="59"/>
      <c r="U14" s="98"/>
      <c r="V14" s="99"/>
      <c r="W14" s="98"/>
      <c r="X14" s="99"/>
      <c r="Y14" s="98"/>
      <c r="Z14" s="99"/>
      <c r="AA14" s="59"/>
      <c r="AB14" s="59"/>
      <c r="AC14" s="59"/>
      <c r="AD14" s="59"/>
      <c r="AE14" s="100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 t="s">
        <v>282</v>
      </c>
      <c r="DW14" s="192" t="s">
        <v>284</v>
      </c>
      <c r="DX14" s="59" t="s">
        <v>285</v>
      </c>
      <c r="DY14" s="191" t="s">
        <v>465</v>
      </c>
      <c r="DZ14" s="191" t="s">
        <v>345</v>
      </c>
      <c r="EA14" s="99">
        <f>7-6.16</f>
        <v>0.8399999999999999</v>
      </c>
      <c r="EB14" s="59">
        <v>2538</v>
      </c>
      <c r="EC14" s="59" t="s">
        <v>185</v>
      </c>
      <c r="ED14" s="185">
        <v>3.305</v>
      </c>
      <c r="EE14" s="185">
        <v>6.02</v>
      </c>
      <c r="EF14" s="185">
        <v>0.549</v>
      </c>
      <c r="EG14" s="194" t="s">
        <v>301</v>
      </c>
      <c r="EH14" s="102" t="s">
        <v>399</v>
      </c>
      <c r="EI14" s="187">
        <v>2.2</v>
      </c>
      <c r="EJ14" s="187">
        <v>1.4</v>
      </c>
      <c r="EK14" s="185">
        <v>0.018</v>
      </c>
      <c r="EL14" s="185">
        <v>0.831</v>
      </c>
      <c r="EM14" s="184">
        <v>0.06</v>
      </c>
      <c r="EN14" s="187">
        <v>1.65</v>
      </c>
      <c r="EO14" s="103">
        <f t="shared" si="4"/>
        <v>0.25</v>
      </c>
      <c r="EP14" s="59">
        <v>0.15</v>
      </c>
      <c r="EQ14" s="187">
        <v>2.2</v>
      </c>
      <c r="ER14" s="187">
        <v>2.2</v>
      </c>
      <c r="ES14" s="59"/>
      <c r="ET14" s="187">
        <v>2</v>
      </c>
      <c r="EU14" s="59"/>
      <c r="EV14" s="187">
        <v>6</v>
      </c>
      <c r="EW14" s="187">
        <v>15</v>
      </c>
      <c r="EX14" s="187">
        <v>20</v>
      </c>
      <c r="EY14" s="99"/>
      <c r="EZ14" s="170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</row>
    <row r="15" spans="1:202" ht="27" customHeight="1">
      <c r="A15" s="92"/>
      <c r="B15" s="93"/>
      <c r="C15" s="94"/>
      <c r="D15" s="94"/>
      <c r="E15" s="94"/>
      <c r="F15" s="95"/>
      <c r="G15" s="96"/>
      <c r="H15" s="96"/>
      <c r="I15" s="59"/>
      <c r="J15" s="59"/>
      <c r="K15" s="95"/>
      <c r="L15" s="95"/>
      <c r="M15" s="59"/>
      <c r="N15" s="59"/>
      <c r="O15" s="95"/>
      <c r="P15" s="59"/>
      <c r="Q15" s="59"/>
      <c r="R15" s="59"/>
      <c r="S15" s="97"/>
      <c r="T15" s="59"/>
      <c r="U15" s="98"/>
      <c r="V15" s="99"/>
      <c r="W15" s="98"/>
      <c r="X15" s="99"/>
      <c r="Y15" s="98"/>
      <c r="Z15" s="99"/>
      <c r="AA15" s="59"/>
      <c r="AB15" s="59"/>
      <c r="AC15" s="59"/>
      <c r="AD15" s="59"/>
      <c r="AE15" s="100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 t="s">
        <v>282</v>
      </c>
      <c r="DW15" s="192" t="s">
        <v>284</v>
      </c>
      <c r="DX15" s="59" t="s">
        <v>285</v>
      </c>
      <c r="DY15" s="191" t="s">
        <v>345</v>
      </c>
      <c r="DZ15" s="191" t="s">
        <v>347</v>
      </c>
      <c r="EA15" s="99">
        <f>10.5-7</f>
        <v>3.5</v>
      </c>
      <c r="EB15" s="59">
        <v>2538</v>
      </c>
      <c r="EC15" s="59" t="s">
        <v>185</v>
      </c>
      <c r="ED15" s="185">
        <v>3.305</v>
      </c>
      <c r="EE15" s="185">
        <v>6.02</v>
      </c>
      <c r="EF15" s="185">
        <v>0.549</v>
      </c>
      <c r="EG15" s="193" t="s">
        <v>301</v>
      </c>
      <c r="EH15" s="102" t="s">
        <v>399</v>
      </c>
      <c r="EI15" s="187">
        <v>2.2</v>
      </c>
      <c r="EJ15" s="187">
        <v>1.4</v>
      </c>
      <c r="EK15" s="185">
        <v>0.018</v>
      </c>
      <c r="EL15" s="185">
        <v>0.831</v>
      </c>
      <c r="EM15" s="184">
        <v>0.06</v>
      </c>
      <c r="EN15" s="187">
        <v>1.65</v>
      </c>
      <c r="EO15" s="103">
        <f t="shared" si="4"/>
        <v>0.25</v>
      </c>
      <c r="EP15" s="59">
        <v>0.15</v>
      </c>
      <c r="EQ15" s="187">
        <v>2.2</v>
      </c>
      <c r="ER15" s="187">
        <v>2.2</v>
      </c>
      <c r="ES15" s="59"/>
      <c r="ET15" s="187">
        <v>2</v>
      </c>
      <c r="EU15" s="59"/>
      <c r="EV15" s="187">
        <v>6</v>
      </c>
      <c r="EW15" s="187">
        <v>15</v>
      </c>
      <c r="EX15" s="187">
        <v>20</v>
      </c>
      <c r="EY15" s="99"/>
      <c r="EZ15" s="170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</row>
    <row r="16" spans="1:202" ht="27" customHeight="1">
      <c r="A16" s="92"/>
      <c r="B16" s="93"/>
      <c r="C16" s="94"/>
      <c r="D16" s="94"/>
      <c r="E16" s="94"/>
      <c r="F16" s="95"/>
      <c r="G16" s="96"/>
      <c r="H16" s="96"/>
      <c r="I16" s="59"/>
      <c r="J16" s="59"/>
      <c r="K16" s="95"/>
      <c r="L16" s="95"/>
      <c r="M16" s="59"/>
      <c r="N16" s="59"/>
      <c r="O16" s="95"/>
      <c r="P16" s="59"/>
      <c r="Q16" s="59"/>
      <c r="R16" s="59"/>
      <c r="S16" s="97"/>
      <c r="T16" s="59"/>
      <c r="U16" s="98"/>
      <c r="V16" s="99"/>
      <c r="W16" s="98"/>
      <c r="X16" s="99"/>
      <c r="Y16" s="98"/>
      <c r="Z16" s="99"/>
      <c r="AA16" s="59"/>
      <c r="AB16" s="59"/>
      <c r="AC16" s="59"/>
      <c r="AD16" s="59"/>
      <c r="AE16" s="100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 t="s">
        <v>282</v>
      </c>
      <c r="DW16" s="192" t="s">
        <v>284</v>
      </c>
      <c r="DX16" s="59" t="s">
        <v>285</v>
      </c>
      <c r="DY16" s="191" t="s">
        <v>347</v>
      </c>
      <c r="DZ16" s="191" t="s">
        <v>466</v>
      </c>
      <c r="EA16" s="99">
        <f>11.05-10.5</f>
        <v>0.5500000000000007</v>
      </c>
      <c r="EB16" s="59">
        <v>2538</v>
      </c>
      <c r="EC16" s="59" t="s">
        <v>185</v>
      </c>
      <c r="ED16" s="185">
        <v>3.305</v>
      </c>
      <c r="EE16" s="185">
        <v>6.02</v>
      </c>
      <c r="EF16" s="185">
        <v>0.549</v>
      </c>
      <c r="EG16" s="194" t="s">
        <v>301</v>
      </c>
      <c r="EH16" s="102" t="s">
        <v>399</v>
      </c>
      <c r="EI16" s="187">
        <v>2.2</v>
      </c>
      <c r="EJ16" s="187">
        <v>1.4</v>
      </c>
      <c r="EK16" s="185">
        <v>0.018</v>
      </c>
      <c r="EL16" s="185">
        <v>0.831</v>
      </c>
      <c r="EM16" s="184">
        <v>0.06</v>
      </c>
      <c r="EN16" s="187">
        <v>1.65</v>
      </c>
      <c r="EO16" s="103">
        <f t="shared" si="4"/>
        <v>0.25</v>
      </c>
      <c r="EP16" s="59">
        <v>0.15</v>
      </c>
      <c r="EQ16" s="187">
        <v>2.2</v>
      </c>
      <c r="ER16" s="187">
        <v>2.2</v>
      </c>
      <c r="ES16" s="59"/>
      <c r="ET16" s="187">
        <v>2</v>
      </c>
      <c r="EU16" s="59"/>
      <c r="EV16" s="187">
        <v>6</v>
      </c>
      <c r="EW16" s="187">
        <v>15</v>
      </c>
      <c r="EX16" s="187">
        <v>20</v>
      </c>
      <c r="EY16" s="99"/>
      <c r="EZ16" s="170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</row>
    <row r="17" spans="1:202" ht="27" customHeight="1">
      <c r="A17" s="92"/>
      <c r="B17" s="93"/>
      <c r="C17" s="94"/>
      <c r="D17" s="94"/>
      <c r="E17" s="94"/>
      <c r="F17" s="95"/>
      <c r="G17" s="96"/>
      <c r="H17" s="96"/>
      <c r="I17" s="59"/>
      <c r="J17" s="59"/>
      <c r="K17" s="95"/>
      <c r="L17" s="95"/>
      <c r="M17" s="59"/>
      <c r="N17" s="59"/>
      <c r="O17" s="95"/>
      <c r="P17" s="59"/>
      <c r="Q17" s="59"/>
      <c r="R17" s="59"/>
      <c r="S17" s="97"/>
      <c r="T17" s="59"/>
      <c r="U17" s="98"/>
      <c r="V17" s="99"/>
      <c r="W17" s="98"/>
      <c r="X17" s="99"/>
      <c r="Y17" s="98"/>
      <c r="Z17" s="99"/>
      <c r="AA17" s="59"/>
      <c r="AB17" s="59"/>
      <c r="AC17" s="59"/>
      <c r="AD17" s="59"/>
      <c r="AE17" s="100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 t="s">
        <v>282</v>
      </c>
      <c r="DW17" s="192" t="s">
        <v>284</v>
      </c>
      <c r="DX17" s="59" t="s">
        <v>285</v>
      </c>
      <c r="DY17" s="191" t="s">
        <v>466</v>
      </c>
      <c r="DZ17" s="191" t="s">
        <v>467</v>
      </c>
      <c r="EA17" s="99">
        <f>13.28-11.05</f>
        <v>2.2299999999999986</v>
      </c>
      <c r="EB17" s="59">
        <v>2538</v>
      </c>
      <c r="EC17" s="59" t="s">
        <v>185</v>
      </c>
      <c r="ED17" s="185"/>
      <c r="EE17" s="185"/>
      <c r="EF17" s="185"/>
      <c r="EG17" s="193" t="s">
        <v>301</v>
      </c>
      <c r="EH17" s="102" t="s">
        <v>399</v>
      </c>
      <c r="EI17" s="187">
        <v>2</v>
      </c>
      <c r="EJ17" s="187">
        <v>1.4</v>
      </c>
      <c r="EK17" s="185">
        <v>0.018</v>
      </c>
      <c r="EL17" s="185"/>
      <c r="EM17" s="184">
        <v>0.06</v>
      </c>
      <c r="EN17" s="187">
        <v>1.65</v>
      </c>
      <c r="EO17" s="103">
        <f t="shared" si="4"/>
        <v>0.25</v>
      </c>
      <c r="EP17" s="59">
        <v>0.15</v>
      </c>
      <c r="EQ17" s="187">
        <v>2</v>
      </c>
      <c r="ER17" s="187">
        <v>2</v>
      </c>
      <c r="ES17" s="59"/>
      <c r="ET17" s="187">
        <v>2</v>
      </c>
      <c r="EU17" s="59"/>
      <c r="EV17" s="187">
        <v>6</v>
      </c>
      <c r="EW17" s="187">
        <v>15</v>
      </c>
      <c r="EX17" s="187">
        <v>20</v>
      </c>
      <c r="EY17" s="99"/>
      <c r="EZ17" s="170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</row>
    <row r="18" spans="1:202" ht="27" customHeight="1">
      <c r="A18" s="92"/>
      <c r="B18" s="93"/>
      <c r="C18" s="94"/>
      <c r="D18" s="94"/>
      <c r="E18" s="94"/>
      <c r="F18" s="95"/>
      <c r="G18" s="96"/>
      <c r="H18" s="96"/>
      <c r="I18" s="59"/>
      <c r="J18" s="59"/>
      <c r="K18" s="95"/>
      <c r="L18" s="95"/>
      <c r="M18" s="59"/>
      <c r="N18" s="59"/>
      <c r="O18" s="95"/>
      <c r="P18" s="59"/>
      <c r="Q18" s="59"/>
      <c r="R18" s="59"/>
      <c r="S18" s="97"/>
      <c r="T18" s="59"/>
      <c r="U18" s="98"/>
      <c r="V18" s="99"/>
      <c r="W18" s="98"/>
      <c r="X18" s="99"/>
      <c r="Y18" s="98"/>
      <c r="Z18" s="99"/>
      <c r="AA18" s="59"/>
      <c r="AB18" s="59"/>
      <c r="AC18" s="59"/>
      <c r="AD18" s="59"/>
      <c r="AE18" s="100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 t="s">
        <v>282</v>
      </c>
      <c r="DW18" s="59" t="s">
        <v>385</v>
      </c>
      <c r="DX18" s="59" t="s">
        <v>285</v>
      </c>
      <c r="DY18" s="191" t="s">
        <v>468</v>
      </c>
      <c r="DZ18" s="191" t="s">
        <v>349</v>
      </c>
      <c r="EA18" s="99">
        <f>14-13.38</f>
        <v>0.6199999999999992</v>
      </c>
      <c r="EB18" s="59">
        <v>2538</v>
      </c>
      <c r="EC18" s="59" t="s">
        <v>185</v>
      </c>
      <c r="ED18" s="185"/>
      <c r="EE18" s="185"/>
      <c r="EF18" s="185"/>
      <c r="EG18" s="194" t="s">
        <v>301</v>
      </c>
      <c r="EH18" s="102" t="s">
        <v>399</v>
      </c>
      <c r="EI18" s="187">
        <v>2</v>
      </c>
      <c r="EJ18" s="187">
        <v>1.4</v>
      </c>
      <c r="EK18" s="185">
        <v>0.018</v>
      </c>
      <c r="EL18" s="185"/>
      <c r="EM18" s="184">
        <v>0.06</v>
      </c>
      <c r="EN18" s="187">
        <v>1.65</v>
      </c>
      <c r="EO18" s="103">
        <f t="shared" si="4"/>
        <v>0.25</v>
      </c>
      <c r="EP18" s="59">
        <v>0.15</v>
      </c>
      <c r="EQ18" s="187">
        <v>2</v>
      </c>
      <c r="ER18" s="187">
        <v>2</v>
      </c>
      <c r="ES18" s="59"/>
      <c r="ET18" s="187">
        <v>2</v>
      </c>
      <c r="EU18" s="59"/>
      <c r="EV18" s="187">
        <v>6</v>
      </c>
      <c r="EW18" s="187">
        <v>15</v>
      </c>
      <c r="EX18" s="187">
        <v>20</v>
      </c>
      <c r="EY18" s="99"/>
      <c r="EZ18" s="170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</row>
    <row r="19" spans="1:202" ht="27" customHeight="1">
      <c r="A19" s="92"/>
      <c r="B19" s="93"/>
      <c r="C19" s="94"/>
      <c r="D19" s="94"/>
      <c r="E19" s="94"/>
      <c r="F19" s="95"/>
      <c r="G19" s="96"/>
      <c r="H19" s="96"/>
      <c r="I19" s="59"/>
      <c r="J19" s="59"/>
      <c r="K19" s="95"/>
      <c r="L19" s="95"/>
      <c r="M19" s="59"/>
      <c r="N19" s="59"/>
      <c r="O19" s="95"/>
      <c r="P19" s="59"/>
      <c r="Q19" s="59"/>
      <c r="R19" s="59"/>
      <c r="S19" s="97"/>
      <c r="T19" s="59"/>
      <c r="U19" s="98"/>
      <c r="V19" s="99"/>
      <c r="W19" s="98"/>
      <c r="X19" s="99"/>
      <c r="Y19" s="98"/>
      <c r="Z19" s="99"/>
      <c r="AA19" s="59"/>
      <c r="AB19" s="59"/>
      <c r="AC19" s="59"/>
      <c r="AD19" s="59"/>
      <c r="AE19" s="100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 t="s">
        <v>282</v>
      </c>
      <c r="DW19" s="59" t="s">
        <v>385</v>
      </c>
      <c r="DX19" s="59" t="s">
        <v>285</v>
      </c>
      <c r="DY19" s="191" t="s">
        <v>349</v>
      </c>
      <c r="DZ19" s="191" t="s">
        <v>469</v>
      </c>
      <c r="EA19" s="99">
        <f>14.18-14</f>
        <v>0.17999999999999972</v>
      </c>
      <c r="EB19" s="59">
        <v>2538</v>
      </c>
      <c r="EC19" s="59" t="s">
        <v>185</v>
      </c>
      <c r="ED19" s="185">
        <v>3.109</v>
      </c>
      <c r="EE19" s="185"/>
      <c r="EF19" s="185"/>
      <c r="EG19" s="193" t="s">
        <v>301</v>
      </c>
      <c r="EH19" s="102" t="s">
        <v>399</v>
      </c>
      <c r="EI19" s="187">
        <v>2</v>
      </c>
      <c r="EJ19" s="187">
        <v>1.4</v>
      </c>
      <c r="EK19" s="185">
        <v>0.018</v>
      </c>
      <c r="EL19" s="185"/>
      <c r="EM19" s="184">
        <v>0.06</v>
      </c>
      <c r="EN19" s="187">
        <v>1.65</v>
      </c>
      <c r="EO19" s="103">
        <f t="shared" si="4"/>
        <v>0.25</v>
      </c>
      <c r="EP19" s="59">
        <v>0.15</v>
      </c>
      <c r="EQ19" s="187">
        <v>2</v>
      </c>
      <c r="ER19" s="187">
        <v>2</v>
      </c>
      <c r="ES19" s="59"/>
      <c r="ET19" s="187">
        <v>2</v>
      </c>
      <c r="EU19" s="59"/>
      <c r="EV19" s="187">
        <v>6</v>
      </c>
      <c r="EW19" s="187">
        <v>15</v>
      </c>
      <c r="EX19" s="187">
        <v>20</v>
      </c>
      <c r="EY19" s="99"/>
      <c r="EZ19" s="170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</row>
    <row r="20" spans="1:202" ht="27" customHeight="1">
      <c r="A20" s="92"/>
      <c r="B20" s="93"/>
      <c r="C20" s="94"/>
      <c r="D20" s="94"/>
      <c r="E20" s="94"/>
      <c r="F20" s="95"/>
      <c r="G20" s="96"/>
      <c r="H20" s="96"/>
      <c r="I20" s="59"/>
      <c r="J20" s="59"/>
      <c r="K20" s="95"/>
      <c r="L20" s="95"/>
      <c r="M20" s="59"/>
      <c r="N20" s="59"/>
      <c r="O20" s="95"/>
      <c r="P20" s="59"/>
      <c r="Q20" s="59"/>
      <c r="R20" s="59"/>
      <c r="S20" s="97"/>
      <c r="T20" s="59"/>
      <c r="U20" s="98"/>
      <c r="V20" s="99"/>
      <c r="W20" s="98"/>
      <c r="X20" s="99"/>
      <c r="Y20" s="98"/>
      <c r="Z20" s="99"/>
      <c r="AA20" s="59"/>
      <c r="AB20" s="59"/>
      <c r="AC20" s="59"/>
      <c r="AD20" s="59"/>
      <c r="AE20" s="100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 t="s">
        <v>282</v>
      </c>
      <c r="DW20" s="192" t="s">
        <v>284</v>
      </c>
      <c r="DX20" s="59" t="s">
        <v>285</v>
      </c>
      <c r="DY20" s="191" t="s">
        <v>469</v>
      </c>
      <c r="DZ20" s="191" t="s">
        <v>353</v>
      </c>
      <c r="EA20" s="99">
        <f>17.5-14.18</f>
        <v>3.3200000000000003</v>
      </c>
      <c r="EB20" s="59">
        <v>2538</v>
      </c>
      <c r="EC20" s="59" t="s">
        <v>185</v>
      </c>
      <c r="ED20" s="185">
        <v>3.109</v>
      </c>
      <c r="EE20" s="185">
        <v>5.74</v>
      </c>
      <c r="EF20" s="185">
        <v>0.542</v>
      </c>
      <c r="EG20" s="194" t="s">
        <v>301</v>
      </c>
      <c r="EH20" s="102" t="s">
        <v>399</v>
      </c>
      <c r="EI20" s="187">
        <v>2</v>
      </c>
      <c r="EJ20" s="187">
        <v>1.4</v>
      </c>
      <c r="EK20" s="185">
        <v>0.018</v>
      </c>
      <c r="EL20" s="185">
        <v>0.814</v>
      </c>
      <c r="EM20" s="184">
        <v>0.06</v>
      </c>
      <c r="EN20" s="187">
        <v>1.65</v>
      </c>
      <c r="EO20" s="103">
        <f t="shared" si="4"/>
        <v>0.25</v>
      </c>
      <c r="EP20" s="59">
        <v>0.15</v>
      </c>
      <c r="EQ20" s="187">
        <v>2</v>
      </c>
      <c r="ER20" s="187">
        <v>2</v>
      </c>
      <c r="ES20" s="59"/>
      <c r="ET20" s="187">
        <v>2</v>
      </c>
      <c r="EU20" s="59"/>
      <c r="EV20" s="187">
        <v>6</v>
      </c>
      <c r="EW20" s="187">
        <v>15</v>
      </c>
      <c r="EX20" s="187">
        <v>20</v>
      </c>
      <c r="EY20" s="99"/>
      <c r="EZ20" s="170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</row>
    <row r="21" spans="1:202" ht="27" customHeight="1">
      <c r="A21" s="92"/>
      <c r="B21" s="93"/>
      <c r="C21" s="94"/>
      <c r="D21" s="94"/>
      <c r="E21" s="94"/>
      <c r="F21" s="95"/>
      <c r="G21" s="96"/>
      <c r="H21" s="96"/>
      <c r="I21" s="59"/>
      <c r="J21" s="59"/>
      <c r="K21" s="95"/>
      <c r="L21" s="95"/>
      <c r="M21" s="59"/>
      <c r="N21" s="59"/>
      <c r="O21" s="95"/>
      <c r="P21" s="59"/>
      <c r="Q21" s="59"/>
      <c r="R21" s="59"/>
      <c r="S21" s="97"/>
      <c r="T21" s="59"/>
      <c r="U21" s="98"/>
      <c r="V21" s="99"/>
      <c r="W21" s="98"/>
      <c r="X21" s="99"/>
      <c r="Y21" s="98"/>
      <c r="Z21" s="99"/>
      <c r="AA21" s="59"/>
      <c r="AB21" s="59"/>
      <c r="AC21" s="59"/>
      <c r="AD21" s="59"/>
      <c r="AE21" s="100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 t="s">
        <v>282</v>
      </c>
      <c r="DW21" s="192" t="s">
        <v>284</v>
      </c>
      <c r="DX21" s="59" t="s">
        <v>285</v>
      </c>
      <c r="DY21" s="184" t="s">
        <v>353</v>
      </c>
      <c r="DZ21" s="184" t="s">
        <v>470</v>
      </c>
      <c r="EA21" s="99">
        <f>18-17.5</f>
        <v>0.5</v>
      </c>
      <c r="EB21" s="59">
        <v>2538</v>
      </c>
      <c r="EC21" s="59" t="s">
        <v>185</v>
      </c>
      <c r="ED21" s="185">
        <v>3.109</v>
      </c>
      <c r="EE21" s="185">
        <v>5.74</v>
      </c>
      <c r="EF21" s="185">
        <v>0.542</v>
      </c>
      <c r="EG21" s="193" t="s">
        <v>301</v>
      </c>
      <c r="EH21" s="102" t="s">
        <v>399</v>
      </c>
      <c r="EI21" s="187">
        <v>2</v>
      </c>
      <c r="EJ21" s="187">
        <v>1.4</v>
      </c>
      <c r="EK21" s="185">
        <v>0.018</v>
      </c>
      <c r="EL21" s="185">
        <v>0.814</v>
      </c>
      <c r="EM21" s="184">
        <v>0.06</v>
      </c>
      <c r="EN21" s="187">
        <v>1.65</v>
      </c>
      <c r="EO21" s="103">
        <f t="shared" si="4"/>
        <v>0.25</v>
      </c>
      <c r="EP21" s="59">
        <v>0.15</v>
      </c>
      <c r="EQ21" s="187">
        <v>2</v>
      </c>
      <c r="ER21" s="187">
        <v>2</v>
      </c>
      <c r="ES21" s="59"/>
      <c r="ET21" s="187">
        <v>2</v>
      </c>
      <c r="EU21" s="59"/>
      <c r="EV21" s="187">
        <v>6</v>
      </c>
      <c r="EW21" s="187">
        <v>15</v>
      </c>
      <c r="EX21" s="187">
        <v>20</v>
      </c>
      <c r="EY21" s="99"/>
      <c r="EZ21" s="170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</row>
    <row r="22" spans="1:202" ht="27" customHeight="1">
      <c r="A22" s="92"/>
      <c r="B22" s="93"/>
      <c r="C22" s="94"/>
      <c r="D22" s="94"/>
      <c r="E22" s="94"/>
      <c r="F22" s="95"/>
      <c r="G22" s="96"/>
      <c r="H22" s="96"/>
      <c r="I22" s="59"/>
      <c r="J22" s="59"/>
      <c r="K22" s="95"/>
      <c r="L22" s="95"/>
      <c r="M22" s="59"/>
      <c r="N22" s="59"/>
      <c r="O22" s="95"/>
      <c r="P22" s="59"/>
      <c r="Q22" s="59"/>
      <c r="R22" s="59"/>
      <c r="S22" s="97"/>
      <c r="T22" s="59"/>
      <c r="U22" s="98"/>
      <c r="V22" s="99"/>
      <c r="W22" s="98"/>
      <c r="X22" s="99"/>
      <c r="Y22" s="98"/>
      <c r="Z22" s="99"/>
      <c r="AA22" s="59"/>
      <c r="AB22" s="59"/>
      <c r="AC22" s="59"/>
      <c r="AD22" s="59"/>
      <c r="AE22" s="100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 t="s">
        <v>282</v>
      </c>
      <c r="DW22" s="192" t="s">
        <v>284</v>
      </c>
      <c r="DX22" s="59" t="s">
        <v>285</v>
      </c>
      <c r="DY22" s="184" t="s">
        <v>470</v>
      </c>
      <c r="DZ22" s="184" t="s">
        <v>471</v>
      </c>
      <c r="EA22" s="99">
        <f>18.04-18</f>
        <v>0.03999999999999915</v>
      </c>
      <c r="EB22" s="59">
        <v>2538</v>
      </c>
      <c r="EC22" s="59" t="s">
        <v>185</v>
      </c>
      <c r="ED22" s="185">
        <v>2.889</v>
      </c>
      <c r="EE22" s="185">
        <v>5.434</v>
      </c>
      <c r="EF22" s="185">
        <v>0.531</v>
      </c>
      <c r="EG22" s="194" t="s">
        <v>301</v>
      </c>
      <c r="EH22" s="102" t="s">
        <v>399</v>
      </c>
      <c r="EI22" s="187">
        <v>2</v>
      </c>
      <c r="EJ22" s="187">
        <v>1.35</v>
      </c>
      <c r="EK22" s="185">
        <v>0.018</v>
      </c>
      <c r="EL22" s="185">
        <v>0.791</v>
      </c>
      <c r="EM22" s="184">
        <v>0.06</v>
      </c>
      <c r="EN22" s="187">
        <v>1.6</v>
      </c>
      <c r="EO22" s="103">
        <f t="shared" si="4"/>
        <v>0.25</v>
      </c>
      <c r="EP22" s="59">
        <v>0.15</v>
      </c>
      <c r="EQ22" s="187">
        <v>2</v>
      </c>
      <c r="ER22" s="187">
        <v>2</v>
      </c>
      <c r="ES22" s="59"/>
      <c r="ET22" s="187">
        <v>2</v>
      </c>
      <c r="EU22" s="59"/>
      <c r="EV22" s="187">
        <v>6</v>
      </c>
      <c r="EW22" s="187">
        <v>15</v>
      </c>
      <c r="EX22" s="187">
        <v>20</v>
      </c>
      <c r="EY22" s="99"/>
      <c r="EZ22" s="170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</row>
    <row r="23" spans="1:202" ht="27" customHeight="1">
      <c r="A23" s="92"/>
      <c r="B23" s="93"/>
      <c r="C23" s="94"/>
      <c r="D23" s="94"/>
      <c r="E23" s="94"/>
      <c r="F23" s="95"/>
      <c r="G23" s="96"/>
      <c r="H23" s="96"/>
      <c r="I23" s="59"/>
      <c r="J23" s="59"/>
      <c r="K23" s="95"/>
      <c r="L23" s="95"/>
      <c r="M23" s="59"/>
      <c r="N23" s="59"/>
      <c r="O23" s="95"/>
      <c r="P23" s="59"/>
      <c r="Q23" s="59"/>
      <c r="R23" s="59"/>
      <c r="S23" s="97"/>
      <c r="T23" s="59"/>
      <c r="U23" s="98"/>
      <c r="V23" s="99"/>
      <c r="W23" s="98"/>
      <c r="X23" s="99"/>
      <c r="Y23" s="98"/>
      <c r="Z23" s="99"/>
      <c r="AA23" s="59"/>
      <c r="AB23" s="59"/>
      <c r="AC23" s="59"/>
      <c r="AD23" s="59"/>
      <c r="AE23" s="100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 t="s">
        <v>282</v>
      </c>
      <c r="DW23" s="59" t="s">
        <v>385</v>
      </c>
      <c r="DX23" s="59" t="s">
        <v>285</v>
      </c>
      <c r="DY23" s="184" t="s">
        <v>471</v>
      </c>
      <c r="DZ23" s="185" t="s">
        <v>472</v>
      </c>
      <c r="EA23" s="99">
        <f>18.6-18.04</f>
        <v>0.5600000000000023</v>
      </c>
      <c r="EB23" s="59">
        <v>2538</v>
      </c>
      <c r="EC23" s="59" t="s">
        <v>185</v>
      </c>
      <c r="ED23" s="185">
        <v>2.888</v>
      </c>
      <c r="EE23" s="185"/>
      <c r="EF23" s="185"/>
      <c r="EG23" s="193" t="s">
        <v>301</v>
      </c>
      <c r="EH23" s="102" t="s">
        <v>399</v>
      </c>
      <c r="EI23" s="187">
        <v>2</v>
      </c>
      <c r="EJ23" s="187">
        <v>1.35</v>
      </c>
      <c r="EK23" s="185">
        <v>0.018</v>
      </c>
      <c r="EL23" s="185"/>
      <c r="EM23" s="184">
        <v>0.06</v>
      </c>
      <c r="EN23" s="187">
        <v>1.6</v>
      </c>
      <c r="EO23" s="103">
        <f t="shared" si="4"/>
        <v>0.25</v>
      </c>
      <c r="EP23" s="59">
        <v>0.15</v>
      </c>
      <c r="EQ23" s="187">
        <v>2</v>
      </c>
      <c r="ER23" s="187">
        <v>2</v>
      </c>
      <c r="ES23" s="59"/>
      <c r="ET23" s="187">
        <v>2</v>
      </c>
      <c r="EU23" s="59"/>
      <c r="EV23" s="187">
        <v>6</v>
      </c>
      <c r="EW23" s="187">
        <v>15</v>
      </c>
      <c r="EX23" s="187">
        <v>20</v>
      </c>
      <c r="EY23" s="99"/>
      <c r="EZ23" s="170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</row>
    <row r="24" spans="1:202" ht="27" customHeight="1">
      <c r="A24" s="92"/>
      <c r="B24" s="93"/>
      <c r="C24" s="94"/>
      <c r="D24" s="94"/>
      <c r="E24" s="94"/>
      <c r="F24" s="95"/>
      <c r="G24" s="96"/>
      <c r="H24" s="96"/>
      <c r="I24" s="59"/>
      <c r="J24" s="59"/>
      <c r="K24" s="95"/>
      <c r="L24" s="95"/>
      <c r="M24" s="59"/>
      <c r="N24" s="59"/>
      <c r="O24" s="95"/>
      <c r="P24" s="59"/>
      <c r="Q24" s="59"/>
      <c r="R24" s="59"/>
      <c r="S24" s="97"/>
      <c r="T24" s="59"/>
      <c r="U24" s="98"/>
      <c r="V24" s="99"/>
      <c r="W24" s="98"/>
      <c r="X24" s="99"/>
      <c r="Y24" s="98"/>
      <c r="Z24" s="99"/>
      <c r="AA24" s="59"/>
      <c r="AB24" s="59"/>
      <c r="AC24" s="59"/>
      <c r="AD24" s="59"/>
      <c r="AE24" s="100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 t="s">
        <v>282</v>
      </c>
      <c r="DW24" s="192" t="s">
        <v>284</v>
      </c>
      <c r="DX24" s="59" t="s">
        <v>285</v>
      </c>
      <c r="DY24" s="184" t="s">
        <v>472</v>
      </c>
      <c r="DZ24" s="184" t="s">
        <v>473</v>
      </c>
      <c r="EA24" s="99">
        <f>21-18.6</f>
        <v>2.3999999999999986</v>
      </c>
      <c r="EB24" s="59">
        <v>2538</v>
      </c>
      <c r="EC24" s="59" t="s">
        <v>185</v>
      </c>
      <c r="ED24" s="185">
        <v>2.887</v>
      </c>
      <c r="EE24" s="185">
        <v>5.434</v>
      </c>
      <c r="EF24" s="185">
        <v>0.531</v>
      </c>
      <c r="EG24" s="194" t="s">
        <v>301</v>
      </c>
      <c r="EH24" s="102" t="s">
        <v>399</v>
      </c>
      <c r="EI24" s="187">
        <v>2</v>
      </c>
      <c r="EJ24" s="187">
        <v>1.35</v>
      </c>
      <c r="EK24" s="185">
        <v>0.018</v>
      </c>
      <c r="EL24" s="185">
        <v>0.791</v>
      </c>
      <c r="EM24" s="184">
        <v>0.06</v>
      </c>
      <c r="EN24" s="187">
        <v>1.6</v>
      </c>
      <c r="EO24" s="103">
        <f t="shared" si="4"/>
        <v>0.25</v>
      </c>
      <c r="EP24" s="59">
        <v>0.15</v>
      </c>
      <c r="EQ24" s="187">
        <v>2</v>
      </c>
      <c r="ER24" s="187">
        <v>2</v>
      </c>
      <c r="ES24" s="59"/>
      <c r="ET24" s="187">
        <v>2</v>
      </c>
      <c r="EU24" s="59"/>
      <c r="EV24" s="187">
        <v>6</v>
      </c>
      <c r="EW24" s="187">
        <v>15</v>
      </c>
      <c r="EX24" s="187">
        <v>20</v>
      </c>
      <c r="EY24" s="99"/>
      <c r="EZ24" s="170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</row>
    <row r="25" spans="1:202" ht="27" customHeight="1">
      <c r="A25" s="92"/>
      <c r="B25" s="93"/>
      <c r="C25" s="94"/>
      <c r="D25" s="94"/>
      <c r="E25" s="94"/>
      <c r="F25" s="95"/>
      <c r="G25" s="96"/>
      <c r="H25" s="96"/>
      <c r="I25" s="59"/>
      <c r="J25" s="59"/>
      <c r="K25" s="95"/>
      <c r="L25" s="95"/>
      <c r="M25" s="59"/>
      <c r="N25" s="59"/>
      <c r="O25" s="95"/>
      <c r="P25" s="59"/>
      <c r="Q25" s="59"/>
      <c r="R25" s="59"/>
      <c r="S25" s="97"/>
      <c r="T25" s="59"/>
      <c r="U25" s="98"/>
      <c r="V25" s="99"/>
      <c r="W25" s="98"/>
      <c r="X25" s="99"/>
      <c r="Y25" s="98"/>
      <c r="Z25" s="99"/>
      <c r="AA25" s="59"/>
      <c r="AB25" s="59"/>
      <c r="AC25" s="59"/>
      <c r="AD25" s="59"/>
      <c r="AE25" s="100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 t="s">
        <v>282</v>
      </c>
      <c r="DW25" s="192" t="s">
        <v>284</v>
      </c>
      <c r="DX25" s="59" t="s">
        <v>285</v>
      </c>
      <c r="DY25" s="184" t="s">
        <v>473</v>
      </c>
      <c r="DZ25" s="184" t="s">
        <v>474</v>
      </c>
      <c r="EA25" s="99">
        <f>21.2-21</f>
        <v>0.1999999999999993</v>
      </c>
      <c r="EB25" s="59">
        <v>2538</v>
      </c>
      <c r="EC25" s="59" t="s">
        <v>185</v>
      </c>
      <c r="ED25" s="185">
        <v>2.887</v>
      </c>
      <c r="EE25" s="185">
        <v>5.434</v>
      </c>
      <c r="EF25" s="185">
        <v>0.531</v>
      </c>
      <c r="EG25" s="193" t="s">
        <v>301</v>
      </c>
      <c r="EH25" s="102" t="s">
        <v>399</v>
      </c>
      <c r="EI25" s="187">
        <v>2</v>
      </c>
      <c r="EJ25" s="187">
        <v>1.35</v>
      </c>
      <c r="EK25" s="185">
        <v>0.018</v>
      </c>
      <c r="EL25" s="185">
        <v>0.791</v>
      </c>
      <c r="EM25" s="184">
        <v>0.06</v>
      </c>
      <c r="EN25" s="187">
        <v>1.6</v>
      </c>
      <c r="EO25" s="103">
        <f t="shared" si="4"/>
        <v>0.25</v>
      </c>
      <c r="EP25" s="59">
        <v>0.15</v>
      </c>
      <c r="EQ25" s="187">
        <v>2</v>
      </c>
      <c r="ER25" s="187">
        <v>2</v>
      </c>
      <c r="ES25" s="59"/>
      <c r="ET25" s="187">
        <v>2</v>
      </c>
      <c r="EU25" s="59"/>
      <c r="EV25" s="187">
        <v>6</v>
      </c>
      <c r="EW25" s="187">
        <v>15</v>
      </c>
      <c r="EX25" s="187">
        <v>20</v>
      </c>
      <c r="EY25" s="99"/>
      <c r="EZ25" s="170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</row>
    <row r="26" spans="1:202" ht="27" customHeight="1">
      <c r="A26" s="92"/>
      <c r="B26" s="93"/>
      <c r="C26" s="94"/>
      <c r="D26" s="94"/>
      <c r="E26" s="94"/>
      <c r="F26" s="95"/>
      <c r="G26" s="96"/>
      <c r="H26" s="96"/>
      <c r="I26" s="59"/>
      <c r="J26" s="59"/>
      <c r="K26" s="95"/>
      <c r="L26" s="95"/>
      <c r="M26" s="59"/>
      <c r="N26" s="59"/>
      <c r="O26" s="95"/>
      <c r="P26" s="59"/>
      <c r="Q26" s="59"/>
      <c r="R26" s="59"/>
      <c r="S26" s="97"/>
      <c r="T26" s="59"/>
      <c r="U26" s="98"/>
      <c r="V26" s="99"/>
      <c r="W26" s="98"/>
      <c r="X26" s="99"/>
      <c r="Y26" s="98"/>
      <c r="Z26" s="99"/>
      <c r="AA26" s="59"/>
      <c r="AB26" s="59"/>
      <c r="AC26" s="59"/>
      <c r="AD26" s="59"/>
      <c r="AE26" s="100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 t="s">
        <v>282</v>
      </c>
      <c r="DW26" s="192" t="s">
        <v>284</v>
      </c>
      <c r="DX26" s="59" t="s">
        <v>285</v>
      </c>
      <c r="DY26" s="184" t="s">
        <v>474</v>
      </c>
      <c r="DZ26" s="184" t="s">
        <v>475</v>
      </c>
      <c r="EA26" s="99">
        <f>23.22-21.2</f>
        <v>2.0199999999999996</v>
      </c>
      <c r="EB26" s="59">
        <v>2538</v>
      </c>
      <c r="EC26" s="59" t="s">
        <v>185</v>
      </c>
      <c r="ED26" s="185">
        <v>2.675</v>
      </c>
      <c r="EE26" s="185">
        <v>5.135</v>
      </c>
      <c r="EF26" s="185">
        <v>0.521</v>
      </c>
      <c r="EG26" s="194" t="s">
        <v>301</v>
      </c>
      <c r="EH26" s="102" t="s">
        <v>399</v>
      </c>
      <c r="EI26" s="187">
        <v>2</v>
      </c>
      <c r="EJ26" s="187">
        <v>1.3</v>
      </c>
      <c r="EK26" s="185">
        <v>0.018</v>
      </c>
      <c r="EL26" s="185">
        <v>0.768</v>
      </c>
      <c r="EM26" s="184">
        <v>0.06</v>
      </c>
      <c r="EN26" s="187">
        <v>1.55</v>
      </c>
      <c r="EO26" s="103">
        <f t="shared" si="4"/>
        <v>0.25</v>
      </c>
      <c r="EP26" s="59">
        <v>0.15</v>
      </c>
      <c r="EQ26" s="187">
        <v>2</v>
      </c>
      <c r="ER26" s="187">
        <v>2</v>
      </c>
      <c r="ES26" s="59"/>
      <c r="ET26" s="187">
        <v>2</v>
      </c>
      <c r="EU26" s="59"/>
      <c r="EV26" s="187">
        <v>6</v>
      </c>
      <c r="EW26" s="187">
        <v>15</v>
      </c>
      <c r="EX26" s="187">
        <v>20</v>
      </c>
      <c r="EY26" s="99"/>
      <c r="EZ26" s="170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</row>
    <row r="27" spans="1:202" ht="27" customHeight="1">
      <c r="A27" s="92"/>
      <c r="B27" s="93"/>
      <c r="C27" s="94"/>
      <c r="D27" s="94"/>
      <c r="E27" s="94"/>
      <c r="F27" s="95"/>
      <c r="G27" s="96"/>
      <c r="H27" s="96"/>
      <c r="I27" s="59"/>
      <c r="J27" s="59"/>
      <c r="K27" s="95"/>
      <c r="L27" s="95"/>
      <c r="M27" s="59"/>
      <c r="N27" s="59"/>
      <c r="O27" s="95"/>
      <c r="P27" s="59"/>
      <c r="Q27" s="59"/>
      <c r="R27" s="59"/>
      <c r="S27" s="97"/>
      <c r="T27" s="59"/>
      <c r="U27" s="98"/>
      <c r="V27" s="99"/>
      <c r="W27" s="98"/>
      <c r="X27" s="99"/>
      <c r="Y27" s="98"/>
      <c r="Z27" s="99"/>
      <c r="AA27" s="59"/>
      <c r="AB27" s="59"/>
      <c r="AC27" s="59"/>
      <c r="AD27" s="59"/>
      <c r="AE27" s="100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 t="s">
        <v>282</v>
      </c>
      <c r="DW27" s="192" t="s">
        <v>284</v>
      </c>
      <c r="DX27" s="59" t="s">
        <v>285</v>
      </c>
      <c r="DY27" s="184" t="s">
        <v>475</v>
      </c>
      <c r="DZ27" s="184" t="s">
        <v>476</v>
      </c>
      <c r="EA27" s="99">
        <f>26.5-23.22</f>
        <v>3.280000000000001</v>
      </c>
      <c r="EB27" s="59">
        <v>2538</v>
      </c>
      <c r="EC27" s="59" t="s">
        <v>185</v>
      </c>
      <c r="ED27" s="185">
        <v>2.471</v>
      </c>
      <c r="EE27" s="185">
        <v>4.844</v>
      </c>
      <c r="EF27" s="185">
        <v>0.51</v>
      </c>
      <c r="EG27" s="193" t="s">
        <v>301</v>
      </c>
      <c r="EH27" s="102" t="s">
        <v>399</v>
      </c>
      <c r="EI27" s="187">
        <v>2</v>
      </c>
      <c r="EJ27" s="187">
        <v>1.25</v>
      </c>
      <c r="EK27" s="185">
        <v>0.018</v>
      </c>
      <c r="EL27" s="185">
        <v>0.744</v>
      </c>
      <c r="EM27" s="184">
        <v>0.06</v>
      </c>
      <c r="EN27" s="187">
        <v>1.45</v>
      </c>
      <c r="EO27" s="103">
        <f t="shared" si="4"/>
        <v>0.19999999999999996</v>
      </c>
      <c r="EP27" s="59">
        <v>0.15</v>
      </c>
      <c r="EQ27" s="187">
        <v>2</v>
      </c>
      <c r="ER27" s="187">
        <v>2</v>
      </c>
      <c r="ES27" s="59"/>
      <c r="ET27" s="187">
        <v>2</v>
      </c>
      <c r="EU27" s="59"/>
      <c r="EV27" s="187">
        <v>6</v>
      </c>
      <c r="EW27" s="187">
        <v>15</v>
      </c>
      <c r="EX27" s="187">
        <v>20</v>
      </c>
      <c r="EY27" s="99"/>
      <c r="EZ27" s="170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</row>
    <row r="28" spans="1:202" ht="27" customHeight="1">
      <c r="A28" s="92"/>
      <c r="B28" s="93"/>
      <c r="C28" s="94"/>
      <c r="D28" s="94"/>
      <c r="E28" s="94"/>
      <c r="F28" s="95"/>
      <c r="G28" s="96"/>
      <c r="H28" s="96"/>
      <c r="I28" s="59"/>
      <c r="J28" s="59"/>
      <c r="K28" s="95"/>
      <c r="L28" s="95"/>
      <c r="M28" s="59"/>
      <c r="N28" s="59"/>
      <c r="O28" s="95"/>
      <c r="P28" s="59"/>
      <c r="Q28" s="59"/>
      <c r="R28" s="59"/>
      <c r="S28" s="97"/>
      <c r="T28" s="59"/>
      <c r="U28" s="98"/>
      <c r="V28" s="99"/>
      <c r="W28" s="98"/>
      <c r="X28" s="99"/>
      <c r="Y28" s="98"/>
      <c r="Z28" s="99"/>
      <c r="AA28" s="59"/>
      <c r="AB28" s="59"/>
      <c r="AC28" s="59"/>
      <c r="AD28" s="59"/>
      <c r="AE28" s="100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 t="s">
        <v>282</v>
      </c>
      <c r="DW28" s="192" t="s">
        <v>284</v>
      </c>
      <c r="DX28" s="59" t="s">
        <v>285</v>
      </c>
      <c r="DY28" s="184" t="s">
        <v>476</v>
      </c>
      <c r="DZ28" s="184" t="s">
        <v>477</v>
      </c>
      <c r="EA28" s="99">
        <f>26.8-26.5</f>
        <v>0.3000000000000007</v>
      </c>
      <c r="EB28" s="59">
        <v>2538</v>
      </c>
      <c r="EC28" s="59" t="s">
        <v>185</v>
      </c>
      <c r="ED28" s="185">
        <v>1.915</v>
      </c>
      <c r="EE28" s="185">
        <v>4.015</v>
      </c>
      <c r="EF28" s="185">
        <v>0.477</v>
      </c>
      <c r="EG28" s="194" t="s">
        <v>301</v>
      </c>
      <c r="EH28" s="102" t="s">
        <v>399</v>
      </c>
      <c r="EI28" s="187">
        <v>2</v>
      </c>
      <c r="EJ28" s="187">
        <v>1.1</v>
      </c>
      <c r="EK28" s="185">
        <v>0.018</v>
      </c>
      <c r="EL28" s="185">
        <v>0.673</v>
      </c>
      <c r="EM28" s="184">
        <v>0.06</v>
      </c>
      <c r="EN28" s="187">
        <v>1.3</v>
      </c>
      <c r="EO28" s="103">
        <f t="shared" si="4"/>
        <v>0.19999999999999996</v>
      </c>
      <c r="EP28" s="59">
        <v>0.15</v>
      </c>
      <c r="EQ28" s="187">
        <v>2</v>
      </c>
      <c r="ER28" s="187">
        <v>2</v>
      </c>
      <c r="ES28" s="59"/>
      <c r="ET28" s="187">
        <v>2</v>
      </c>
      <c r="EU28" s="59"/>
      <c r="EV28" s="187">
        <v>6</v>
      </c>
      <c r="EW28" s="187">
        <v>15</v>
      </c>
      <c r="EX28" s="187">
        <v>20</v>
      </c>
      <c r="EY28" s="99"/>
      <c r="EZ28" s="170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</row>
    <row r="29" spans="1:202" ht="27" customHeight="1">
      <c r="A29" s="92"/>
      <c r="B29" s="93"/>
      <c r="C29" s="94"/>
      <c r="D29" s="94"/>
      <c r="E29" s="94"/>
      <c r="F29" s="95"/>
      <c r="G29" s="96"/>
      <c r="H29" s="96"/>
      <c r="I29" s="59"/>
      <c r="J29" s="59"/>
      <c r="K29" s="95"/>
      <c r="L29" s="95"/>
      <c r="M29" s="59"/>
      <c r="N29" s="59"/>
      <c r="O29" s="95"/>
      <c r="P29" s="59"/>
      <c r="Q29" s="59"/>
      <c r="R29" s="59"/>
      <c r="S29" s="97"/>
      <c r="T29" s="59"/>
      <c r="U29" s="98"/>
      <c r="V29" s="99"/>
      <c r="W29" s="98"/>
      <c r="X29" s="99"/>
      <c r="Y29" s="98"/>
      <c r="Z29" s="99"/>
      <c r="AA29" s="59"/>
      <c r="AB29" s="59"/>
      <c r="AC29" s="59"/>
      <c r="AD29" s="59"/>
      <c r="AE29" s="100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 t="s">
        <v>282</v>
      </c>
      <c r="DW29" s="192" t="s">
        <v>284</v>
      </c>
      <c r="DX29" s="59" t="s">
        <v>285</v>
      </c>
      <c r="DY29" s="184" t="s">
        <v>477</v>
      </c>
      <c r="DZ29" s="184" t="s">
        <v>478</v>
      </c>
      <c r="EA29" s="99">
        <f>29-26.8</f>
        <v>2.1999999999999993</v>
      </c>
      <c r="EB29" s="59">
        <v>2538</v>
      </c>
      <c r="EC29" s="59" t="s">
        <v>185</v>
      </c>
      <c r="ED29" s="185">
        <v>1.915</v>
      </c>
      <c r="EE29" s="185">
        <v>4.015</v>
      </c>
      <c r="EF29" s="185">
        <v>0.477</v>
      </c>
      <c r="EG29" s="193" t="s">
        <v>301</v>
      </c>
      <c r="EH29" s="102" t="s">
        <v>399</v>
      </c>
      <c r="EI29" s="187">
        <v>2</v>
      </c>
      <c r="EJ29" s="187">
        <v>1.1</v>
      </c>
      <c r="EK29" s="185">
        <v>0.018</v>
      </c>
      <c r="EL29" s="185">
        <v>0.673</v>
      </c>
      <c r="EM29" s="184">
        <v>0.06</v>
      </c>
      <c r="EN29" s="187">
        <v>1.3</v>
      </c>
      <c r="EO29" s="103">
        <f t="shared" si="4"/>
        <v>0.19999999999999996</v>
      </c>
      <c r="EP29" s="59">
        <v>0.15</v>
      </c>
      <c r="EQ29" s="187">
        <v>2</v>
      </c>
      <c r="ER29" s="187">
        <v>2</v>
      </c>
      <c r="ES29" s="59"/>
      <c r="ET29" s="187">
        <v>2</v>
      </c>
      <c r="EU29" s="59"/>
      <c r="EV29" s="187">
        <v>6</v>
      </c>
      <c r="EW29" s="187">
        <v>15</v>
      </c>
      <c r="EX29" s="187">
        <v>20</v>
      </c>
      <c r="EY29" s="99"/>
      <c r="EZ29" s="170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</row>
    <row r="30" spans="1:202" ht="27" customHeight="1">
      <c r="A30" s="92"/>
      <c r="B30" s="93"/>
      <c r="C30" s="94"/>
      <c r="D30" s="94"/>
      <c r="E30" s="94"/>
      <c r="F30" s="95"/>
      <c r="G30" s="96"/>
      <c r="H30" s="96"/>
      <c r="I30" s="59"/>
      <c r="J30" s="59"/>
      <c r="K30" s="95"/>
      <c r="L30" s="95"/>
      <c r="M30" s="59"/>
      <c r="N30" s="59"/>
      <c r="O30" s="95"/>
      <c r="P30" s="59"/>
      <c r="Q30" s="59"/>
      <c r="R30" s="59"/>
      <c r="S30" s="97"/>
      <c r="T30" s="59"/>
      <c r="U30" s="98"/>
      <c r="V30" s="99"/>
      <c r="W30" s="98"/>
      <c r="X30" s="99"/>
      <c r="Y30" s="98"/>
      <c r="Z30" s="99"/>
      <c r="AA30" s="59"/>
      <c r="AB30" s="59"/>
      <c r="AC30" s="59"/>
      <c r="AD30" s="59"/>
      <c r="AE30" s="100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 t="s">
        <v>282</v>
      </c>
      <c r="DW30" s="192" t="s">
        <v>284</v>
      </c>
      <c r="DX30" s="59" t="s">
        <v>285</v>
      </c>
      <c r="DY30" s="184" t="s">
        <v>478</v>
      </c>
      <c r="DZ30" s="184" t="s">
        <v>479</v>
      </c>
      <c r="EA30" s="99">
        <f>30.3-29</f>
        <v>1.3000000000000007</v>
      </c>
      <c r="EB30" s="59">
        <v>2538</v>
      </c>
      <c r="EC30" s="59" t="s">
        <v>185</v>
      </c>
      <c r="ED30" s="185">
        <v>1.588</v>
      </c>
      <c r="EE30" s="185">
        <v>3.465</v>
      </c>
      <c r="EF30" s="185">
        <v>0.458</v>
      </c>
      <c r="EG30" s="194" t="s">
        <v>301</v>
      </c>
      <c r="EH30" s="102" t="s">
        <v>399</v>
      </c>
      <c r="EI30" s="187">
        <v>1.5</v>
      </c>
      <c r="EJ30" s="187">
        <v>1.1</v>
      </c>
      <c r="EK30" s="185">
        <v>0.018</v>
      </c>
      <c r="EL30" s="185">
        <v>0.634</v>
      </c>
      <c r="EM30" s="184">
        <v>0.06</v>
      </c>
      <c r="EN30" s="187">
        <v>1.3</v>
      </c>
      <c r="EO30" s="103">
        <f t="shared" si="4"/>
        <v>0.19999999999999996</v>
      </c>
      <c r="EP30" s="59">
        <v>0.15</v>
      </c>
      <c r="EQ30" s="187">
        <v>1.5</v>
      </c>
      <c r="ER30" s="187">
        <v>1.5</v>
      </c>
      <c r="ES30" s="59"/>
      <c r="ET30" s="187">
        <v>2</v>
      </c>
      <c r="EU30" s="59"/>
      <c r="EV30" s="187">
        <v>6</v>
      </c>
      <c r="EW30" s="187">
        <v>15</v>
      </c>
      <c r="EX30" s="187">
        <v>20</v>
      </c>
      <c r="EY30" s="99"/>
      <c r="EZ30" s="170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</row>
    <row r="31" spans="1:202" ht="27" customHeight="1">
      <c r="A31" s="92"/>
      <c r="B31" s="93"/>
      <c r="C31" s="94"/>
      <c r="D31" s="94"/>
      <c r="E31" s="94"/>
      <c r="F31" s="95"/>
      <c r="G31" s="96"/>
      <c r="H31" s="96"/>
      <c r="I31" s="59"/>
      <c r="J31" s="59"/>
      <c r="K31" s="95"/>
      <c r="L31" s="95"/>
      <c r="M31" s="59"/>
      <c r="N31" s="59"/>
      <c r="O31" s="95"/>
      <c r="P31" s="59"/>
      <c r="Q31" s="59"/>
      <c r="R31" s="59"/>
      <c r="S31" s="97"/>
      <c r="T31" s="59"/>
      <c r="U31" s="98"/>
      <c r="V31" s="99"/>
      <c r="W31" s="98"/>
      <c r="X31" s="99"/>
      <c r="Y31" s="98"/>
      <c r="Z31" s="99"/>
      <c r="AA31" s="59"/>
      <c r="AB31" s="59"/>
      <c r="AC31" s="59"/>
      <c r="AD31" s="59"/>
      <c r="AE31" s="100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 t="s">
        <v>282</v>
      </c>
      <c r="DW31" s="192" t="s">
        <v>284</v>
      </c>
      <c r="DX31" s="59" t="s">
        <v>285</v>
      </c>
      <c r="DY31" s="184" t="s">
        <v>479</v>
      </c>
      <c r="DZ31" s="184" t="s">
        <v>480</v>
      </c>
      <c r="EA31" s="99">
        <f>31.3-30.3</f>
        <v>1</v>
      </c>
      <c r="EB31" s="59">
        <v>2538</v>
      </c>
      <c r="EC31" s="59" t="s">
        <v>185</v>
      </c>
      <c r="ED31" s="185">
        <v>1.588</v>
      </c>
      <c r="EE31" s="185">
        <v>3.465</v>
      </c>
      <c r="EF31" s="185">
        <v>0.452</v>
      </c>
      <c r="EG31" s="193" t="s">
        <v>301</v>
      </c>
      <c r="EH31" s="102" t="s">
        <v>399</v>
      </c>
      <c r="EI31" s="187">
        <v>1.5</v>
      </c>
      <c r="EJ31" s="187">
        <v>1.1</v>
      </c>
      <c r="EK31" s="185">
        <v>0.018</v>
      </c>
      <c r="EL31" s="185">
        <v>0.634</v>
      </c>
      <c r="EM31" s="184">
        <v>0.06</v>
      </c>
      <c r="EN31" s="187">
        <v>1.3</v>
      </c>
      <c r="EO31" s="103">
        <f t="shared" si="4"/>
        <v>0.19999999999999996</v>
      </c>
      <c r="EP31" s="59">
        <v>0.15</v>
      </c>
      <c r="EQ31" s="187">
        <v>1.5</v>
      </c>
      <c r="ER31" s="187">
        <v>1.5</v>
      </c>
      <c r="ES31" s="59"/>
      <c r="ET31" s="187">
        <v>2</v>
      </c>
      <c r="EU31" s="59"/>
      <c r="EV31" s="187">
        <v>6</v>
      </c>
      <c r="EW31" s="187">
        <v>15</v>
      </c>
      <c r="EX31" s="187">
        <v>20</v>
      </c>
      <c r="EY31" s="99"/>
      <c r="EZ31" s="170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</row>
    <row r="32" spans="1:202" ht="27" customHeight="1">
      <c r="A32" s="92"/>
      <c r="B32" s="93"/>
      <c r="C32" s="94"/>
      <c r="D32" s="94"/>
      <c r="E32" s="94"/>
      <c r="F32" s="95"/>
      <c r="G32" s="96"/>
      <c r="H32" s="96"/>
      <c r="I32" s="59"/>
      <c r="J32" s="59"/>
      <c r="K32" s="95"/>
      <c r="L32" s="95"/>
      <c r="M32" s="59"/>
      <c r="N32" s="59"/>
      <c r="O32" s="95"/>
      <c r="P32" s="59"/>
      <c r="Q32" s="59"/>
      <c r="R32" s="59"/>
      <c r="S32" s="97"/>
      <c r="T32" s="59"/>
      <c r="U32" s="98"/>
      <c r="V32" s="99"/>
      <c r="W32" s="98"/>
      <c r="X32" s="99"/>
      <c r="Y32" s="98"/>
      <c r="Z32" s="99"/>
      <c r="AA32" s="59"/>
      <c r="AB32" s="59"/>
      <c r="AC32" s="59"/>
      <c r="AD32" s="59"/>
      <c r="AE32" s="100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 t="s">
        <v>282</v>
      </c>
      <c r="DW32" s="192" t="s">
        <v>284</v>
      </c>
      <c r="DX32" s="59" t="s">
        <v>285</v>
      </c>
      <c r="DY32" s="184" t="s">
        <v>480</v>
      </c>
      <c r="DZ32" s="184" t="s">
        <v>481</v>
      </c>
      <c r="EA32" s="99">
        <f>33.8-31.3</f>
        <v>2.4999999999999964</v>
      </c>
      <c r="EB32" s="59">
        <v>2538</v>
      </c>
      <c r="EC32" s="59" t="s">
        <v>185</v>
      </c>
      <c r="ED32" s="185">
        <v>1.221</v>
      </c>
      <c r="EE32" s="185">
        <v>2.779</v>
      </c>
      <c r="EF32" s="185">
        <v>0.476</v>
      </c>
      <c r="EG32" s="194" t="s">
        <v>511</v>
      </c>
      <c r="EH32" s="102" t="s">
        <v>399</v>
      </c>
      <c r="EI32" s="187">
        <v>1.5</v>
      </c>
      <c r="EJ32" s="187">
        <v>0.9</v>
      </c>
      <c r="EK32" s="185">
        <v>0.018</v>
      </c>
      <c r="EL32" s="185">
        <v>0.541</v>
      </c>
      <c r="EM32" s="184">
        <v>0.06</v>
      </c>
      <c r="EN32" s="187">
        <v>1.1</v>
      </c>
      <c r="EO32" s="103">
        <f t="shared" si="4"/>
        <v>0.20000000000000007</v>
      </c>
      <c r="EP32" s="59">
        <v>0.15</v>
      </c>
      <c r="EQ32" s="187">
        <v>1.5</v>
      </c>
      <c r="ER32" s="187">
        <v>1.5</v>
      </c>
      <c r="ES32" s="59"/>
      <c r="ET32" s="187">
        <v>2</v>
      </c>
      <c r="EU32" s="59"/>
      <c r="EV32" s="187">
        <v>6</v>
      </c>
      <c r="EW32" s="187">
        <v>15</v>
      </c>
      <c r="EX32" s="187">
        <v>20</v>
      </c>
      <c r="EY32" s="99"/>
      <c r="EZ32" s="170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</row>
    <row r="33" spans="1:202" ht="27" customHeight="1">
      <c r="A33" s="92"/>
      <c r="B33" s="93"/>
      <c r="C33" s="94"/>
      <c r="D33" s="94"/>
      <c r="E33" s="94"/>
      <c r="F33" s="95"/>
      <c r="G33" s="96"/>
      <c r="H33" s="96"/>
      <c r="I33" s="59"/>
      <c r="J33" s="59"/>
      <c r="K33" s="95"/>
      <c r="L33" s="95"/>
      <c r="M33" s="59"/>
      <c r="N33" s="59"/>
      <c r="O33" s="95"/>
      <c r="P33" s="59"/>
      <c r="Q33" s="59"/>
      <c r="R33" s="59"/>
      <c r="S33" s="97"/>
      <c r="T33" s="59"/>
      <c r="U33" s="98"/>
      <c r="V33" s="99"/>
      <c r="W33" s="98"/>
      <c r="X33" s="99"/>
      <c r="Y33" s="98"/>
      <c r="Z33" s="99"/>
      <c r="AA33" s="59"/>
      <c r="AB33" s="59"/>
      <c r="AC33" s="59"/>
      <c r="AD33" s="59"/>
      <c r="AE33" s="100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 t="s">
        <v>282</v>
      </c>
      <c r="DW33" s="192" t="s">
        <v>284</v>
      </c>
      <c r="DX33" s="59" t="s">
        <v>285</v>
      </c>
      <c r="DY33" s="184" t="s">
        <v>481</v>
      </c>
      <c r="DZ33" s="184" t="s">
        <v>482</v>
      </c>
      <c r="EA33" s="99">
        <f>35.117-33.8</f>
        <v>1.3170000000000002</v>
      </c>
      <c r="EB33" s="59">
        <v>2538</v>
      </c>
      <c r="EC33" s="59" t="s">
        <v>185</v>
      </c>
      <c r="ED33" s="185">
        <v>1.221</v>
      </c>
      <c r="EE33" s="185">
        <v>2.779</v>
      </c>
      <c r="EF33" s="185">
        <v>0.476</v>
      </c>
      <c r="EG33" s="194" t="s">
        <v>511</v>
      </c>
      <c r="EH33" s="102" t="s">
        <v>399</v>
      </c>
      <c r="EI33" s="187">
        <v>1.5</v>
      </c>
      <c r="EJ33" s="187">
        <v>0.9</v>
      </c>
      <c r="EK33" s="185">
        <v>0.018</v>
      </c>
      <c r="EL33" s="185">
        <v>0.541</v>
      </c>
      <c r="EM33" s="184">
        <v>0.06</v>
      </c>
      <c r="EN33" s="187">
        <v>1.1</v>
      </c>
      <c r="EO33" s="103">
        <f t="shared" si="4"/>
        <v>0.20000000000000007</v>
      </c>
      <c r="EP33" s="59">
        <v>0.15</v>
      </c>
      <c r="EQ33" s="187">
        <v>1.5</v>
      </c>
      <c r="ER33" s="187">
        <v>1.5</v>
      </c>
      <c r="ES33" s="59"/>
      <c r="ET33" s="187">
        <v>2</v>
      </c>
      <c r="EU33" s="59"/>
      <c r="EV33" s="187">
        <v>6</v>
      </c>
      <c r="EW33" s="187">
        <v>15</v>
      </c>
      <c r="EX33" s="187">
        <v>20</v>
      </c>
      <c r="EY33" s="99"/>
      <c r="EZ33" s="170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</row>
    <row r="34" spans="1:202" ht="27" customHeight="1">
      <c r="A34" s="92"/>
      <c r="B34" s="93"/>
      <c r="C34" s="94"/>
      <c r="D34" s="94"/>
      <c r="E34" s="94"/>
      <c r="F34" s="95"/>
      <c r="G34" s="96"/>
      <c r="H34" s="96"/>
      <c r="I34" s="59"/>
      <c r="J34" s="59"/>
      <c r="K34" s="95"/>
      <c r="L34" s="95"/>
      <c r="M34" s="59"/>
      <c r="N34" s="59"/>
      <c r="O34" s="95"/>
      <c r="P34" s="59"/>
      <c r="Q34" s="59"/>
      <c r="R34" s="59"/>
      <c r="S34" s="97"/>
      <c r="T34" s="59"/>
      <c r="U34" s="98"/>
      <c r="V34" s="99"/>
      <c r="W34" s="98"/>
      <c r="X34" s="99"/>
      <c r="Y34" s="98"/>
      <c r="Z34" s="99"/>
      <c r="AA34" s="59"/>
      <c r="AB34" s="59"/>
      <c r="AC34" s="59"/>
      <c r="AD34" s="59"/>
      <c r="AE34" s="100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 t="s">
        <v>282</v>
      </c>
      <c r="DW34" s="192" t="s">
        <v>284</v>
      </c>
      <c r="DX34" s="59" t="s">
        <v>285</v>
      </c>
      <c r="DY34" s="184" t="s">
        <v>482</v>
      </c>
      <c r="DZ34" s="184" t="s">
        <v>483</v>
      </c>
      <c r="EA34" s="99">
        <f>36.85-35.117</f>
        <v>1.733000000000004</v>
      </c>
      <c r="EB34" s="59">
        <v>2538</v>
      </c>
      <c r="EC34" s="59" t="s">
        <v>185</v>
      </c>
      <c r="ED34" s="185">
        <v>0.953</v>
      </c>
      <c r="EE34" s="185">
        <v>2.115</v>
      </c>
      <c r="EF34" s="185">
        <v>0.451</v>
      </c>
      <c r="EG34" s="194" t="s">
        <v>511</v>
      </c>
      <c r="EH34" s="102" t="s">
        <v>399</v>
      </c>
      <c r="EI34" s="187">
        <v>1</v>
      </c>
      <c r="EJ34" s="187">
        <v>0.9</v>
      </c>
      <c r="EK34" s="185">
        <v>0.018</v>
      </c>
      <c r="EL34" s="185">
        <v>0.498</v>
      </c>
      <c r="EM34" s="184">
        <v>0.06</v>
      </c>
      <c r="EN34" s="187">
        <v>1.05</v>
      </c>
      <c r="EO34" s="103">
        <f t="shared" si="4"/>
        <v>0.15000000000000002</v>
      </c>
      <c r="EP34" s="59">
        <v>0.15</v>
      </c>
      <c r="EQ34" s="187">
        <v>1</v>
      </c>
      <c r="ER34" s="187">
        <v>1</v>
      </c>
      <c r="ES34" s="59"/>
      <c r="ET34" s="187">
        <v>2</v>
      </c>
      <c r="EU34" s="59"/>
      <c r="EV34" s="187">
        <v>6</v>
      </c>
      <c r="EW34" s="187">
        <v>15</v>
      </c>
      <c r="EX34" s="187">
        <v>20</v>
      </c>
      <c r="EY34" s="99"/>
      <c r="EZ34" s="170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</row>
    <row r="35" spans="1:202" ht="27" customHeight="1">
      <c r="A35" s="92"/>
      <c r="B35" s="93"/>
      <c r="C35" s="94"/>
      <c r="D35" s="94"/>
      <c r="E35" s="94"/>
      <c r="F35" s="95"/>
      <c r="G35" s="96"/>
      <c r="H35" s="96"/>
      <c r="I35" s="59"/>
      <c r="J35" s="59"/>
      <c r="K35" s="95"/>
      <c r="L35" s="95"/>
      <c r="M35" s="59"/>
      <c r="N35" s="59"/>
      <c r="O35" s="95"/>
      <c r="P35" s="59"/>
      <c r="Q35" s="59"/>
      <c r="R35" s="59"/>
      <c r="S35" s="97"/>
      <c r="T35" s="59"/>
      <c r="U35" s="98"/>
      <c r="V35" s="99"/>
      <c r="W35" s="98"/>
      <c r="X35" s="99"/>
      <c r="Y35" s="98"/>
      <c r="Z35" s="99"/>
      <c r="AA35" s="59"/>
      <c r="AB35" s="59"/>
      <c r="AC35" s="59"/>
      <c r="AD35" s="59"/>
      <c r="AE35" s="100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 t="s">
        <v>282</v>
      </c>
      <c r="DW35" s="192" t="s">
        <v>284</v>
      </c>
      <c r="DX35" s="59" t="s">
        <v>285</v>
      </c>
      <c r="DY35" s="184" t="s">
        <v>483</v>
      </c>
      <c r="DZ35" s="184" t="s">
        <v>484</v>
      </c>
      <c r="EA35" s="99">
        <f>37.3-36.85</f>
        <v>0.44999999999999574</v>
      </c>
      <c r="EB35" s="59">
        <v>2538</v>
      </c>
      <c r="EC35" s="59" t="s">
        <v>185</v>
      </c>
      <c r="ED35" s="185">
        <v>0.651</v>
      </c>
      <c r="EE35" s="185">
        <v>1.594</v>
      </c>
      <c r="EF35" s="185">
        <v>0.409</v>
      </c>
      <c r="EG35" s="194" t="s">
        <v>511</v>
      </c>
      <c r="EH35" s="102" t="s">
        <v>399</v>
      </c>
      <c r="EI35" s="187">
        <v>1</v>
      </c>
      <c r="EJ35" s="187">
        <v>0.75</v>
      </c>
      <c r="EK35" s="185">
        <v>0.018</v>
      </c>
      <c r="EL35" s="185">
        <v>0.43</v>
      </c>
      <c r="EM35" s="184">
        <v>0.06</v>
      </c>
      <c r="EN35" s="187">
        <v>0.9</v>
      </c>
      <c r="EO35" s="103">
        <f t="shared" si="4"/>
        <v>0.15000000000000002</v>
      </c>
      <c r="EP35" s="59">
        <v>0.15</v>
      </c>
      <c r="EQ35" s="187">
        <v>1</v>
      </c>
      <c r="ER35" s="187">
        <v>1</v>
      </c>
      <c r="ES35" s="59"/>
      <c r="ET35" s="187">
        <v>2</v>
      </c>
      <c r="EU35" s="59"/>
      <c r="EV35" s="187">
        <v>6</v>
      </c>
      <c r="EW35" s="187">
        <v>15</v>
      </c>
      <c r="EX35" s="187">
        <v>20</v>
      </c>
      <c r="EY35" s="99"/>
      <c r="EZ35" s="170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</row>
    <row r="36" spans="1:202" ht="27" customHeight="1">
      <c r="A36" s="92"/>
      <c r="B36" s="93"/>
      <c r="C36" s="94"/>
      <c r="D36" s="94"/>
      <c r="E36" s="94"/>
      <c r="F36" s="95"/>
      <c r="G36" s="96"/>
      <c r="H36" s="96"/>
      <c r="I36" s="59"/>
      <c r="J36" s="59"/>
      <c r="K36" s="95"/>
      <c r="L36" s="95"/>
      <c r="M36" s="59"/>
      <c r="N36" s="59"/>
      <c r="O36" s="95"/>
      <c r="P36" s="59"/>
      <c r="Q36" s="59"/>
      <c r="R36" s="59"/>
      <c r="S36" s="97"/>
      <c r="T36" s="59"/>
      <c r="U36" s="98"/>
      <c r="V36" s="99"/>
      <c r="W36" s="98"/>
      <c r="X36" s="99"/>
      <c r="Y36" s="98"/>
      <c r="Z36" s="99"/>
      <c r="AA36" s="59"/>
      <c r="AB36" s="59"/>
      <c r="AC36" s="59"/>
      <c r="AD36" s="59"/>
      <c r="AE36" s="100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 t="s">
        <v>282</v>
      </c>
      <c r="DW36" s="192" t="s">
        <v>284</v>
      </c>
      <c r="DX36" s="59" t="s">
        <v>285</v>
      </c>
      <c r="DY36" s="184" t="s">
        <v>484</v>
      </c>
      <c r="DZ36" s="184" t="s">
        <v>485</v>
      </c>
      <c r="EA36" s="99">
        <f>38-37.3</f>
        <v>0.7000000000000028</v>
      </c>
      <c r="EB36" s="59">
        <v>2538</v>
      </c>
      <c r="EC36" s="59" t="s">
        <v>185</v>
      </c>
      <c r="ED36" s="185">
        <v>0.651</v>
      </c>
      <c r="EE36" s="185">
        <v>1.594</v>
      </c>
      <c r="EF36" s="185">
        <v>0.409</v>
      </c>
      <c r="EG36" s="194" t="s">
        <v>511</v>
      </c>
      <c r="EH36" s="102" t="s">
        <v>399</v>
      </c>
      <c r="EI36" s="187">
        <v>1</v>
      </c>
      <c r="EJ36" s="187">
        <v>0.75</v>
      </c>
      <c r="EK36" s="185">
        <v>0.018</v>
      </c>
      <c r="EL36" s="185">
        <v>0.43</v>
      </c>
      <c r="EM36" s="184">
        <v>0.06</v>
      </c>
      <c r="EN36" s="187">
        <v>0.9</v>
      </c>
      <c r="EO36" s="103">
        <f t="shared" si="4"/>
        <v>0.15000000000000002</v>
      </c>
      <c r="EP36" s="59">
        <v>0.15</v>
      </c>
      <c r="EQ36" s="187">
        <v>1</v>
      </c>
      <c r="ER36" s="187">
        <v>1</v>
      </c>
      <c r="ES36" s="59"/>
      <c r="ET36" s="187">
        <v>2</v>
      </c>
      <c r="EU36" s="59"/>
      <c r="EV36" s="187">
        <v>6</v>
      </c>
      <c r="EW36" s="187">
        <v>15</v>
      </c>
      <c r="EX36" s="187">
        <v>20</v>
      </c>
      <c r="EY36" s="99"/>
      <c r="EZ36" s="170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</row>
    <row r="37" spans="1:202" ht="27" customHeight="1">
      <c r="A37" s="92"/>
      <c r="B37" s="93"/>
      <c r="C37" s="94"/>
      <c r="D37" s="94"/>
      <c r="E37" s="94"/>
      <c r="F37" s="95"/>
      <c r="G37" s="96"/>
      <c r="H37" s="96"/>
      <c r="I37" s="59"/>
      <c r="J37" s="59"/>
      <c r="K37" s="95"/>
      <c r="L37" s="95"/>
      <c r="M37" s="59"/>
      <c r="N37" s="59"/>
      <c r="O37" s="95"/>
      <c r="P37" s="59"/>
      <c r="Q37" s="59"/>
      <c r="R37" s="59"/>
      <c r="S37" s="97"/>
      <c r="T37" s="59"/>
      <c r="U37" s="98"/>
      <c r="V37" s="99"/>
      <c r="W37" s="98"/>
      <c r="X37" s="99"/>
      <c r="Y37" s="98"/>
      <c r="Z37" s="99"/>
      <c r="AA37" s="59"/>
      <c r="AB37" s="59"/>
      <c r="AC37" s="59"/>
      <c r="AD37" s="59"/>
      <c r="AE37" s="100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 t="s">
        <v>282</v>
      </c>
      <c r="DW37" s="192" t="s">
        <v>284</v>
      </c>
      <c r="DX37" s="59" t="s">
        <v>285</v>
      </c>
      <c r="DY37" s="184" t="s">
        <v>485</v>
      </c>
      <c r="DZ37" s="184" t="s">
        <v>486</v>
      </c>
      <c r="EA37" s="99">
        <f>38.88-38</f>
        <v>0.8800000000000026</v>
      </c>
      <c r="EB37" s="59">
        <v>2538</v>
      </c>
      <c r="EC37" s="59" t="s">
        <v>185</v>
      </c>
      <c r="ED37" s="185">
        <v>0.565</v>
      </c>
      <c r="EE37" s="185">
        <v>1.435</v>
      </c>
      <c r="EF37" s="185">
        <v>0.394</v>
      </c>
      <c r="EG37" s="194" t="s">
        <v>511</v>
      </c>
      <c r="EH37" s="102" t="s">
        <v>399</v>
      </c>
      <c r="EI37" s="187">
        <v>1</v>
      </c>
      <c r="EJ37" s="187">
        <v>0.7</v>
      </c>
      <c r="EK37" s="185">
        <v>0.018</v>
      </c>
      <c r="EL37" s="185">
        <v>0.407</v>
      </c>
      <c r="EM37" s="184">
        <v>0.06</v>
      </c>
      <c r="EN37" s="187">
        <v>0.85</v>
      </c>
      <c r="EO37" s="103">
        <f t="shared" si="4"/>
        <v>0.15000000000000002</v>
      </c>
      <c r="EP37" s="59">
        <v>0.15</v>
      </c>
      <c r="EQ37" s="187">
        <v>1</v>
      </c>
      <c r="ER37" s="187">
        <v>1</v>
      </c>
      <c r="ES37" s="59"/>
      <c r="ET37" s="187">
        <v>2</v>
      </c>
      <c r="EU37" s="59"/>
      <c r="EV37" s="187">
        <v>6</v>
      </c>
      <c r="EW37" s="187">
        <v>15</v>
      </c>
      <c r="EX37" s="187">
        <v>20</v>
      </c>
      <c r="EY37" s="99"/>
      <c r="EZ37" s="170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</row>
    <row r="38" spans="1:202" ht="27" customHeight="1">
      <c r="A38" s="92"/>
      <c r="B38" s="93"/>
      <c r="C38" s="94"/>
      <c r="D38" s="94"/>
      <c r="E38" s="94"/>
      <c r="F38" s="95"/>
      <c r="G38" s="96"/>
      <c r="H38" s="96"/>
      <c r="I38" s="59"/>
      <c r="J38" s="59"/>
      <c r="K38" s="95"/>
      <c r="L38" s="95"/>
      <c r="M38" s="59"/>
      <c r="N38" s="59"/>
      <c r="O38" s="95"/>
      <c r="P38" s="59"/>
      <c r="Q38" s="59"/>
      <c r="R38" s="59"/>
      <c r="S38" s="97"/>
      <c r="T38" s="59"/>
      <c r="U38" s="98"/>
      <c r="V38" s="99"/>
      <c r="W38" s="98"/>
      <c r="X38" s="99"/>
      <c r="Y38" s="98"/>
      <c r="Z38" s="99"/>
      <c r="AA38" s="59"/>
      <c r="AB38" s="59"/>
      <c r="AC38" s="59"/>
      <c r="AD38" s="59"/>
      <c r="AE38" s="100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 t="s">
        <v>282</v>
      </c>
      <c r="DW38" s="59" t="s">
        <v>17</v>
      </c>
      <c r="DX38" s="59" t="s">
        <v>285</v>
      </c>
      <c r="DY38" s="184" t="s">
        <v>486</v>
      </c>
      <c r="DZ38" s="184" t="s">
        <v>487</v>
      </c>
      <c r="EA38" s="99">
        <f>39.376-38.88</f>
        <v>0.4959999999999951</v>
      </c>
      <c r="EB38" s="59">
        <v>2538</v>
      </c>
      <c r="EC38" s="59" t="s">
        <v>185</v>
      </c>
      <c r="ED38" s="185">
        <v>0.536</v>
      </c>
      <c r="EE38" s="185">
        <v>1.76</v>
      </c>
      <c r="EF38" s="185">
        <v>0.273</v>
      </c>
      <c r="EG38" s="194" t="s">
        <v>511</v>
      </c>
      <c r="EH38" s="102" t="s">
        <v>399</v>
      </c>
      <c r="EI38" s="187">
        <v>1</v>
      </c>
      <c r="EJ38" s="187">
        <v>0.8</v>
      </c>
      <c r="EK38" s="185">
        <v>0.025</v>
      </c>
      <c r="EL38" s="185">
        <v>0.453</v>
      </c>
      <c r="EM38" s="184" t="s">
        <v>185</v>
      </c>
      <c r="EN38" s="187" t="s">
        <v>185</v>
      </c>
      <c r="EO38" s="103" t="e">
        <f t="shared" si="4"/>
        <v>#VALUE!</v>
      </c>
      <c r="EP38" s="59">
        <v>0.15</v>
      </c>
      <c r="EQ38" s="187">
        <v>1</v>
      </c>
      <c r="ER38" s="187">
        <v>1</v>
      </c>
      <c r="ES38" s="59"/>
      <c r="ET38" s="187">
        <v>2</v>
      </c>
      <c r="EU38" s="59"/>
      <c r="EV38" s="187">
        <v>2</v>
      </c>
      <c r="EW38" s="187">
        <v>10</v>
      </c>
      <c r="EX38" s="187">
        <v>10</v>
      </c>
      <c r="EY38" s="99"/>
      <c r="EZ38" s="170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</row>
    <row r="39" spans="1:202" ht="27" customHeight="1">
      <c r="A39" s="92"/>
      <c r="B39" s="93"/>
      <c r="C39" s="94"/>
      <c r="D39" s="94"/>
      <c r="E39" s="94"/>
      <c r="F39" s="95"/>
      <c r="G39" s="96"/>
      <c r="H39" s="96"/>
      <c r="I39" s="59"/>
      <c r="J39" s="59"/>
      <c r="K39" s="95"/>
      <c r="L39" s="95"/>
      <c r="M39" s="59"/>
      <c r="N39" s="59"/>
      <c r="O39" s="95"/>
      <c r="P39" s="59"/>
      <c r="Q39" s="59"/>
      <c r="R39" s="59"/>
      <c r="S39" s="97"/>
      <c r="T39" s="59"/>
      <c r="U39" s="98"/>
      <c r="V39" s="99"/>
      <c r="W39" s="98"/>
      <c r="X39" s="99"/>
      <c r="Y39" s="98"/>
      <c r="Z39" s="99"/>
      <c r="AA39" s="59"/>
      <c r="AB39" s="59"/>
      <c r="AC39" s="59"/>
      <c r="AD39" s="59"/>
      <c r="AE39" s="100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 t="s">
        <v>513</v>
      </c>
      <c r="DW39" s="192" t="s">
        <v>284</v>
      </c>
      <c r="DX39" s="59" t="s">
        <v>285</v>
      </c>
      <c r="DY39" s="184" t="s">
        <v>286</v>
      </c>
      <c r="DZ39" s="184" t="s">
        <v>342</v>
      </c>
      <c r="EA39" s="99">
        <f>3.5-0</f>
        <v>3.5</v>
      </c>
      <c r="EB39" s="59">
        <v>2538</v>
      </c>
      <c r="EC39" s="59" t="s">
        <v>185</v>
      </c>
      <c r="ED39" s="184">
        <v>0.619</v>
      </c>
      <c r="EE39" s="184">
        <v>1.435</v>
      </c>
      <c r="EF39" s="184">
        <v>0.432</v>
      </c>
      <c r="EG39" s="186" t="s">
        <v>376</v>
      </c>
      <c r="EH39" s="102" t="s">
        <v>399</v>
      </c>
      <c r="EI39" s="187">
        <v>1</v>
      </c>
      <c r="EJ39" s="187">
        <v>0.7</v>
      </c>
      <c r="EK39" s="184">
        <v>0.018</v>
      </c>
      <c r="EL39" s="184">
        <v>0.407</v>
      </c>
      <c r="EM39" s="184">
        <v>0.06</v>
      </c>
      <c r="EN39" s="184">
        <v>0.85</v>
      </c>
      <c r="EO39" s="103">
        <f t="shared" si="4"/>
        <v>0.15000000000000002</v>
      </c>
      <c r="EP39" s="59">
        <v>0.15</v>
      </c>
      <c r="EQ39" s="187">
        <v>1</v>
      </c>
      <c r="ER39" s="187">
        <v>1</v>
      </c>
      <c r="ES39" s="59"/>
      <c r="ET39" s="187">
        <v>2</v>
      </c>
      <c r="EU39" s="59"/>
      <c r="EV39" s="187">
        <v>5</v>
      </c>
      <c r="EW39" s="187">
        <v>10</v>
      </c>
      <c r="EX39" s="187">
        <v>15</v>
      </c>
      <c r="EY39" s="99"/>
      <c r="EZ39" s="170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</row>
    <row r="40" spans="1:202" ht="27" customHeight="1">
      <c r="A40" s="92"/>
      <c r="B40" s="93"/>
      <c r="C40" s="94"/>
      <c r="D40" s="94"/>
      <c r="E40" s="94"/>
      <c r="F40" s="95"/>
      <c r="G40" s="96"/>
      <c r="H40" s="96"/>
      <c r="I40" s="59"/>
      <c r="J40" s="59"/>
      <c r="K40" s="95"/>
      <c r="L40" s="95"/>
      <c r="M40" s="59"/>
      <c r="N40" s="59"/>
      <c r="O40" s="95"/>
      <c r="P40" s="59"/>
      <c r="Q40" s="59"/>
      <c r="R40" s="59"/>
      <c r="S40" s="97"/>
      <c r="T40" s="59"/>
      <c r="U40" s="98"/>
      <c r="V40" s="99"/>
      <c r="W40" s="98"/>
      <c r="X40" s="99"/>
      <c r="Y40" s="98"/>
      <c r="Z40" s="99"/>
      <c r="AA40" s="59"/>
      <c r="AB40" s="59"/>
      <c r="AC40" s="59"/>
      <c r="AD40" s="59"/>
      <c r="AE40" s="100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 t="s">
        <v>513</v>
      </c>
      <c r="DW40" s="192" t="s">
        <v>284</v>
      </c>
      <c r="DX40" s="59" t="s">
        <v>285</v>
      </c>
      <c r="DY40" s="184" t="s">
        <v>342</v>
      </c>
      <c r="DZ40" s="184" t="s">
        <v>488</v>
      </c>
      <c r="EA40" s="99">
        <f>3.56-3.5</f>
        <v>0.06000000000000005</v>
      </c>
      <c r="EB40" s="59">
        <v>2538</v>
      </c>
      <c r="EC40" s="59" t="s">
        <v>185</v>
      </c>
      <c r="ED40" s="184">
        <v>0.619</v>
      </c>
      <c r="EE40" s="184">
        <v>1.435</v>
      </c>
      <c r="EF40" s="184">
        <v>0.432</v>
      </c>
      <c r="EG40" s="186" t="s">
        <v>376</v>
      </c>
      <c r="EH40" s="102" t="s">
        <v>399</v>
      </c>
      <c r="EI40" s="187">
        <v>1</v>
      </c>
      <c r="EJ40" s="187">
        <v>0.7</v>
      </c>
      <c r="EK40" s="184">
        <v>0.018</v>
      </c>
      <c r="EL40" s="184">
        <v>0.407</v>
      </c>
      <c r="EM40" s="187">
        <v>0.06</v>
      </c>
      <c r="EN40" s="187">
        <v>0.85</v>
      </c>
      <c r="EO40" s="103">
        <f t="shared" si="4"/>
        <v>0.15000000000000002</v>
      </c>
      <c r="EP40" s="59">
        <v>0.15</v>
      </c>
      <c r="EQ40" s="187">
        <v>1</v>
      </c>
      <c r="ER40" s="187">
        <v>1</v>
      </c>
      <c r="ES40" s="59"/>
      <c r="ET40" s="187">
        <v>2</v>
      </c>
      <c r="EU40" s="59"/>
      <c r="EV40" s="187">
        <v>5</v>
      </c>
      <c r="EW40" s="187">
        <v>10</v>
      </c>
      <c r="EX40" s="187">
        <v>15</v>
      </c>
      <c r="EY40" s="99"/>
      <c r="EZ40" s="170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</row>
    <row r="41" spans="1:202" ht="27" customHeight="1">
      <c r="A41" s="92"/>
      <c r="B41" s="93"/>
      <c r="C41" s="94"/>
      <c r="D41" s="94"/>
      <c r="E41" s="94"/>
      <c r="F41" s="95"/>
      <c r="G41" s="96"/>
      <c r="H41" s="96"/>
      <c r="I41" s="59"/>
      <c r="J41" s="59"/>
      <c r="K41" s="95"/>
      <c r="L41" s="95"/>
      <c r="M41" s="59"/>
      <c r="N41" s="59"/>
      <c r="O41" s="95"/>
      <c r="P41" s="59"/>
      <c r="Q41" s="59"/>
      <c r="R41" s="59"/>
      <c r="S41" s="97"/>
      <c r="T41" s="59"/>
      <c r="U41" s="98"/>
      <c r="V41" s="99"/>
      <c r="W41" s="98"/>
      <c r="X41" s="99"/>
      <c r="Y41" s="98"/>
      <c r="Z41" s="99"/>
      <c r="AA41" s="59"/>
      <c r="AB41" s="59"/>
      <c r="AC41" s="59"/>
      <c r="AD41" s="59"/>
      <c r="AE41" s="100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 t="s">
        <v>513</v>
      </c>
      <c r="DW41" s="192" t="s">
        <v>284</v>
      </c>
      <c r="DX41" s="59" t="s">
        <v>285</v>
      </c>
      <c r="DY41" s="184" t="s">
        <v>488</v>
      </c>
      <c r="DZ41" s="184" t="s">
        <v>489</v>
      </c>
      <c r="EA41" s="99">
        <f>4.75-3.56</f>
        <v>1.19</v>
      </c>
      <c r="EB41" s="59">
        <v>2538</v>
      </c>
      <c r="EC41" s="59" t="s">
        <v>185</v>
      </c>
      <c r="ED41" s="185">
        <v>0.227</v>
      </c>
      <c r="EE41" s="184">
        <v>0.675</v>
      </c>
      <c r="EF41" s="185">
        <v>0.337</v>
      </c>
      <c r="EG41" s="186" t="s">
        <v>376</v>
      </c>
      <c r="EH41" s="102" t="s">
        <v>399</v>
      </c>
      <c r="EI41" s="187">
        <v>0.6</v>
      </c>
      <c r="EJ41" s="187">
        <v>0.5</v>
      </c>
      <c r="EK41" s="184">
        <v>0.018</v>
      </c>
      <c r="EL41" s="185">
        <v>0.281</v>
      </c>
      <c r="EM41" s="187">
        <v>0.06</v>
      </c>
      <c r="EN41" s="187">
        <v>0.65</v>
      </c>
      <c r="EO41" s="103">
        <f t="shared" si="4"/>
        <v>0.15000000000000002</v>
      </c>
      <c r="EP41" s="59">
        <v>0.15</v>
      </c>
      <c r="EQ41" s="187">
        <v>0.6</v>
      </c>
      <c r="ER41" s="187">
        <v>0.6</v>
      </c>
      <c r="ES41" s="59"/>
      <c r="ET41" s="187">
        <v>2</v>
      </c>
      <c r="EU41" s="59"/>
      <c r="EV41" s="187">
        <v>5</v>
      </c>
      <c r="EW41" s="187">
        <v>10</v>
      </c>
      <c r="EX41" s="187">
        <v>15</v>
      </c>
      <c r="EY41" s="99"/>
      <c r="EZ41" s="170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</row>
    <row r="42" spans="1:202" ht="27" customHeight="1">
      <c r="A42" s="92"/>
      <c r="B42" s="93"/>
      <c r="C42" s="94"/>
      <c r="D42" s="94"/>
      <c r="E42" s="94"/>
      <c r="F42" s="95"/>
      <c r="G42" s="96"/>
      <c r="H42" s="96"/>
      <c r="I42" s="59"/>
      <c r="J42" s="59"/>
      <c r="K42" s="95"/>
      <c r="L42" s="95"/>
      <c r="M42" s="59"/>
      <c r="N42" s="59"/>
      <c r="O42" s="95"/>
      <c r="P42" s="59"/>
      <c r="Q42" s="59"/>
      <c r="R42" s="59"/>
      <c r="S42" s="97"/>
      <c r="T42" s="59"/>
      <c r="U42" s="98"/>
      <c r="V42" s="99"/>
      <c r="W42" s="98"/>
      <c r="X42" s="99"/>
      <c r="Y42" s="98"/>
      <c r="Z42" s="99"/>
      <c r="AA42" s="59"/>
      <c r="AB42" s="59"/>
      <c r="AC42" s="59"/>
      <c r="AD42" s="59"/>
      <c r="AE42" s="100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 t="s">
        <v>513</v>
      </c>
      <c r="DW42" s="192" t="s">
        <v>17</v>
      </c>
      <c r="DX42" s="59" t="s">
        <v>285</v>
      </c>
      <c r="DY42" s="184" t="s">
        <v>489</v>
      </c>
      <c r="DZ42" s="184" t="s">
        <v>490</v>
      </c>
      <c r="EA42" s="99">
        <f>4.85-4.75</f>
        <v>0.09999999999999964</v>
      </c>
      <c r="EB42" s="59">
        <v>2538</v>
      </c>
      <c r="EC42" s="59" t="s">
        <v>185</v>
      </c>
      <c r="ED42" s="185">
        <v>0.155</v>
      </c>
      <c r="EE42" s="185">
        <v>0.56</v>
      </c>
      <c r="EF42" s="185">
        <v>0.277</v>
      </c>
      <c r="EG42" s="186" t="s">
        <v>512</v>
      </c>
      <c r="EH42" s="102" t="s">
        <v>399</v>
      </c>
      <c r="EI42" s="187">
        <v>0.6</v>
      </c>
      <c r="EJ42" s="187">
        <v>0.4</v>
      </c>
      <c r="EK42" s="185">
        <v>0.025</v>
      </c>
      <c r="EL42" s="185">
        <v>0.234</v>
      </c>
      <c r="EM42" s="187" t="s">
        <v>185</v>
      </c>
      <c r="EN42" s="187" t="s">
        <v>185</v>
      </c>
      <c r="EO42" s="103" t="e">
        <f t="shared" si="4"/>
        <v>#VALUE!</v>
      </c>
      <c r="EP42" s="59">
        <v>0.15</v>
      </c>
      <c r="EQ42" s="187">
        <v>0.6</v>
      </c>
      <c r="ER42" s="187">
        <v>0.6</v>
      </c>
      <c r="ES42" s="59"/>
      <c r="ET42" s="187" t="s">
        <v>185</v>
      </c>
      <c r="EU42" s="59"/>
      <c r="EV42" s="187" t="s">
        <v>185</v>
      </c>
      <c r="EW42" s="187">
        <v>10</v>
      </c>
      <c r="EX42" s="187">
        <v>10</v>
      </c>
      <c r="EY42" s="99"/>
      <c r="EZ42" s="170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</row>
    <row r="43" spans="1:202" ht="27" customHeight="1">
      <c r="A43" s="92"/>
      <c r="B43" s="93"/>
      <c r="C43" s="94"/>
      <c r="D43" s="94"/>
      <c r="E43" s="94"/>
      <c r="F43" s="95"/>
      <c r="G43" s="96"/>
      <c r="H43" s="96"/>
      <c r="I43" s="59"/>
      <c r="J43" s="59"/>
      <c r="K43" s="95"/>
      <c r="L43" s="95"/>
      <c r="M43" s="59"/>
      <c r="N43" s="59"/>
      <c r="O43" s="95"/>
      <c r="P43" s="59"/>
      <c r="Q43" s="59"/>
      <c r="R43" s="59"/>
      <c r="S43" s="97"/>
      <c r="T43" s="59"/>
      <c r="U43" s="98"/>
      <c r="V43" s="99"/>
      <c r="W43" s="98"/>
      <c r="X43" s="99"/>
      <c r="Y43" s="98"/>
      <c r="Z43" s="99"/>
      <c r="AA43" s="59"/>
      <c r="AB43" s="59"/>
      <c r="AC43" s="59"/>
      <c r="AD43" s="59"/>
      <c r="AE43" s="100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 t="s">
        <v>514</v>
      </c>
      <c r="DW43" s="192" t="s">
        <v>284</v>
      </c>
      <c r="DX43" s="59" t="s">
        <v>285</v>
      </c>
      <c r="DY43" s="184" t="s">
        <v>286</v>
      </c>
      <c r="DZ43" s="184" t="s">
        <v>491</v>
      </c>
      <c r="EA43" s="99">
        <f>1.25-0</f>
        <v>1.25</v>
      </c>
      <c r="EB43" s="59">
        <v>2538</v>
      </c>
      <c r="EC43" s="59" t="s">
        <v>185</v>
      </c>
      <c r="ED43" s="185">
        <v>0.227</v>
      </c>
      <c r="EE43" s="185">
        <v>0.675</v>
      </c>
      <c r="EF43" s="185">
        <v>0.337</v>
      </c>
      <c r="EG43" s="186" t="s">
        <v>376</v>
      </c>
      <c r="EH43" s="102" t="s">
        <v>399</v>
      </c>
      <c r="EI43" s="187">
        <v>0.6</v>
      </c>
      <c r="EJ43" s="187">
        <v>0.5</v>
      </c>
      <c r="EK43" s="185">
        <v>0.018</v>
      </c>
      <c r="EL43" s="185">
        <v>0.281</v>
      </c>
      <c r="EM43" s="187">
        <v>0.06</v>
      </c>
      <c r="EN43" s="187">
        <v>0.65</v>
      </c>
      <c r="EO43" s="103">
        <f t="shared" si="4"/>
        <v>0.15000000000000002</v>
      </c>
      <c r="EP43" s="59">
        <v>0.15</v>
      </c>
      <c r="EQ43" s="187">
        <v>0.6</v>
      </c>
      <c r="ER43" s="187">
        <v>0.6</v>
      </c>
      <c r="ES43" s="59"/>
      <c r="ET43" s="187">
        <v>5</v>
      </c>
      <c r="EU43" s="59"/>
      <c r="EV43" s="195">
        <v>2</v>
      </c>
      <c r="EW43" s="187">
        <v>15</v>
      </c>
      <c r="EX43" s="187">
        <v>10</v>
      </c>
      <c r="EY43" s="99"/>
      <c r="EZ43" s="170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</row>
    <row r="44" spans="1:202" ht="27" customHeight="1">
      <c r="A44" s="92"/>
      <c r="B44" s="93"/>
      <c r="C44" s="94"/>
      <c r="D44" s="94"/>
      <c r="E44" s="94"/>
      <c r="F44" s="95"/>
      <c r="G44" s="96"/>
      <c r="H44" s="96"/>
      <c r="I44" s="59"/>
      <c r="J44" s="59"/>
      <c r="K44" s="95"/>
      <c r="L44" s="95"/>
      <c r="M44" s="59"/>
      <c r="N44" s="59"/>
      <c r="O44" s="95"/>
      <c r="P44" s="59"/>
      <c r="Q44" s="59"/>
      <c r="R44" s="59"/>
      <c r="S44" s="97"/>
      <c r="T44" s="59"/>
      <c r="U44" s="98"/>
      <c r="V44" s="99"/>
      <c r="W44" s="98"/>
      <c r="X44" s="99"/>
      <c r="Y44" s="98"/>
      <c r="Z44" s="99"/>
      <c r="AA44" s="59"/>
      <c r="AB44" s="59"/>
      <c r="AC44" s="59"/>
      <c r="AD44" s="59"/>
      <c r="AE44" s="100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 t="s">
        <v>514</v>
      </c>
      <c r="DW44" s="192" t="s">
        <v>17</v>
      </c>
      <c r="DX44" s="59" t="s">
        <v>285</v>
      </c>
      <c r="DY44" s="184" t="s">
        <v>491</v>
      </c>
      <c r="DZ44" s="184" t="s">
        <v>492</v>
      </c>
      <c r="EA44" s="99">
        <f>1.3-1.25</f>
        <v>0.050000000000000044</v>
      </c>
      <c r="EB44" s="59">
        <v>2538</v>
      </c>
      <c r="EC44" s="59" t="s">
        <v>185</v>
      </c>
      <c r="ED44" s="185">
        <v>0.155</v>
      </c>
      <c r="EE44" s="185">
        <v>0.56</v>
      </c>
      <c r="EF44" s="185">
        <v>0.227</v>
      </c>
      <c r="EG44" s="186" t="s">
        <v>512</v>
      </c>
      <c r="EH44" s="102" t="s">
        <v>399</v>
      </c>
      <c r="EI44" s="187">
        <v>0.6</v>
      </c>
      <c r="EJ44" s="187">
        <v>0.4</v>
      </c>
      <c r="EK44" s="185">
        <v>0.25</v>
      </c>
      <c r="EL44" s="185">
        <v>0.234</v>
      </c>
      <c r="EM44" s="187" t="s">
        <v>185</v>
      </c>
      <c r="EN44" s="187" t="s">
        <v>185</v>
      </c>
      <c r="EO44" s="103" t="e">
        <f t="shared" si="4"/>
        <v>#VALUE!</v>
      </c>
      <c r="EP44" s="59">
        <v>0.15</v>
      </c>
      <c r="EQ44" s="187">
        <v>0.6</v>
      </c>
      <c r="ER44" s="187">
        <v>0.6</v>
      </c>
      <c r="ES44" s="59"/>
      <c r="ET44" s="187" t="s">
        <v>185</v>
      </c>
      <c r="EU44" s="59"/>
      <c r="EV44" s="187" t="s">
        <v>185</v>
      </c>
      <c r="EW44" s="187">
        <v>10</v>
      </c>
      <c r="EX44" s="187">
        <v>10</v>
      </c>
      <c r="EY44" s="99"/>
      <c r="EZ44" s="170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</row>
    <row r="45" spans="1:202" ht="27" customHeight="1">
      <c r="A45" s="92"/>
      <c r="B45" s="93"/>
      <c r="C45" s="94"/>
      <c r="D45" s="94"/>
      <c r="E45" s="94"/>
      <c r="F45" s="95"/>
      <c r="G45" s="96"/>
      <c r="H45" s="96"/>
      <c r="I45" s="59"/>
      <c r="J45" s="59"/>
      <c r="K45" s="95"/>
      <c r="L45" s="95"/>
      <c r="M45" s="59"/>
      <c r="N45" s="59"/>
      <c r="O45" s="95"/>
      <c r="P45" s="59"/>
      <c r="Q45" s="59"/>
      <c r="R45" s="59"/>
      <c r="S45" s="97"/>
      <c r="T45" s="59"/>
      <c r="U45" s="98"/>
      <c r="V45" s="99"/>
      <c r="W45" s="98"/>
      <c r="X45" s="99"/>
      <c r="Y45" s="98"/>
      <c r="Z45" s="99"/>
      <c r="AA45" s="59"/>
      <c r="AB45" s="59"/>
      <c r="AC45" s="59"/>
      <c r="AD45" s="59"/>
      <c r="AE45" s="100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 t="s">
        <v>515</v>
      </c>
      <c r="DW45" s="192" t="s">
        <v>284</v>
      </c>
      <c r="DX45" s="59" t="s">
        <v>285</v>
      </c>
      <c r="DY45" s="184" t="s">
        <v>286</v>
      </c>
      <c r="DZ45" s="184" t="s">
        <v>341</v>
      </c>
      <c r="EA45" s="99">
        <f>1.6-0</f>
        <v>1.6</v>
      </c>
      <c r="EB45" s="59">
        <v>2538</v>
      </c>
      <c r="EC45" s="59" t="s">
        <v>185</v>
      </c>
      <c r="ED45" s="185">
        <v>0.227</v>
      </c>
      <c r="EE45" s="185">
        <v>0.675</v>
      </c>
      <c r="EF45" s="185">
        <v>0.337</v>
      </c>
      <c r="EG45" s="186" t="s">
        <v>376</v>
      </c>
      <c r="EH45" s="102" t="s">
        <v>399</v>
      </c>
      <c r="EI45" s="187">
        <v>0.6</v>
      </c>
      <c r="EJ45" s="187">
        <v>0.5</v>
      </c>
      <c r="EK45" s="185">
        <v>0.018</v>
      </c>
      <c r="EL45" s="185">
        <v>0.281</v>
      </c>
      <c r="EM45" s="187">
        <v>0.06</v>
      </c>
      <c r="EN45" s="187">
        <v>0.65</v>
      </c>
      <c r="EO45" s="103">
        <f t="shared" si="4"/>
        <v>0.15000000000000002</v>
      </c>
      <c r="EP45" s="59">
        <v>0.15</v>
      </c>
      <c r="EQ45" s="187">
        <v>0.6</v>
      </c>
      <c r="ER45" s="187">
        <v>0.6</v>
      </c>
      <c r="ES45" s="59"/>
      <c r="ET45" s="187">
        <v>5</v>
      </c>
      <c r="EU45" s="59"/>
      <c r="EV45" s="187">
        <v>5</v>
      </c>
      <c r="EW45" s="187">
        <v>15</v>
      </c>
      <c r="EX45" s="187">
        <v>15</v>
      </c>
      <c r="EY45" s="99"/>
      <c r="EZ45" s="170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</row>
    <row r="46" spans="1:202" ht="27" customHeight="1">
      <c r="A46" s="92"/>
      <c r="B46" s="93"/>
      <c r="C46" s="94"/>
      <c r="D46" s="94"/>
      <c r="E46" s="94"/>
      <c r="F46" s="95"/>
      <c r="G46" s="96"/>
      <c r="H46" s="96"/>
      <c r="I46" s="59"/>
      <c r="J46" s="59"/>
      <c r="K46" s="95"/>
      <c r="L46" s="95"/>
      <c r="M46" s="59"/>
      <c r="N46" s="59"/>
      <c r="O46" s="95"/>
      <c r="P46" s="59"/>
      <c r="Q46" s="59"/>
      <c r="R46" s="59"/>
      <c r="S46" s="97"/>
      <c r="T46" s="59"/>
      <c r="U46" s="98"/>
      <c r="V46" s="99"/>
      <c r="W46" s="98"/>
      <c r="X46" s="99"/>
      <c r="Y46" s="98"/>
      <c r="Z46" s="99"/>
      <c r="AA46" s="59"/>
      <c r="AB46" s="59"/>
      <c r="AC46" s="59"/>
      <c r="AD46" s="59"/>
      <c r="AE46" s="100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 t="s">
        <v>515</v>
      </c>
      <c r="DW46" s="192" t="s">
        <v>17</v>
      </c>
      <c r="DX46" s="59" t="s">
        <v>285</v>
      </c>
      <c r="DY46" s="184" t="s">
        <v>341</v>
      </c>
      <c r="DZ46" s="184" t="s">
        <v>493</v>
      </c>
      <c r="EA46" s="99">
        <f>1.708-1.6</f>
        <v>0.10799999999999987</v>
      </c>
      <c r="EB46" s="59">
        <v>2538</v>
      </c>
      <c r="EC46" s="59" t="s">
        <v>185</v>
      </c>
      <c r="ED46" s="185">
        <v>0.135</v>
      </c>
      <c r="EE46" s="185">
        <v>0.625</v>
      </c>
      <c r="EF46" s="185">
        <v>0.216</v>
      </c>
      <c r="EG46" s="186" t="s">
        <v>324</v>
      </c>
      <c r="EH46" s="102" t="s">
        <v>399</v>
      </c>
      <c r="EI46" s="187">
        <v>0.5</v>
      </c>
      <c r="EJ46" s="187">
        <v>0.5</v>
      </c>
      <c r="EK46" s="185">
        <v>0.025</v>
      </c>
      <c r="EL46" s="185">
        <v>0.271</v>
      </c>
      <c r="EM46" s="187" t="s">
        <v>185</v>
      </c>
      <c r="EN46" s="187" t="s">
        <v>185</v>
      </c>
      <c r="EO46" s="103" t="e">
        <f t="shared" si="4"/>
        <v>#VALUE!</v>
      </c>
      <c r="EP46" s="59">
        <v>0.15</v>
      </c>
      <c r="EQ46" s="187">
        <v>0.5</v>
      </c>
      <c r="ER46" s="187">
        <v>0.5</v>
      </c>
      <c r="ES46" s="59"/>
      <c r="ET46" s="187">
        <v>2</v>
      </c>
      <c r="EU46" s="59"/>
      <c r="EV46" s="187">
        <v>2</v>
      </c>
      <c r="EW46" s="187">
        <v>10</v>
      </c>
      <c r="EX46" s="187">
        <v>10</v>
      </c>
      <c r="EY46" s="99"/>
      <c r="EZ46" s="170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</row>
    <row r="47" spans="1:202" ht="27" customHeight="1">
      <c r="A47" s="92"/>
      <c r="B47" s="93"/>
      <c r="C47" s="94"/>
      <c r="D47" s="94"/>
      <c r="E47" s="94"/>
      <c r="F47" s="95"/>
      <c r="G47" s="96"/>
      <c r="H47" s="96"/>
      <c r="I47" s="59"/>
      <c r="J47" s="59"/>
      <c r="K47" s="95"/>
      <c r="L47" s="95"/>
      <c r="M47" s="59"/>
      <c r="N47" s="59"/>
      <c r="O47" s="95"/>
      <c r="P47" s="59"/>
      <c r="Q47" s="59"/>
      <c r="R47" s="59"/>
      <c r="S47" s="97"/>
      <c r="T47" s="59"/>
      <c r="U47" s="98"/>
      <c r="V47" s="99"/>
      <c r="W47" s="98"/>
      <c r="X47" s="99"/>
      <c r="Y47" s="98"/>
      <c r="Z47" s="99"/>
      <c r="AA47" s="59"/>
      <c r="AB47" s="59"/>
      <c r="AC47" s="59"/>
      <c r="AD47" s="59"/>
      <c r="AE47" s="100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 t="s">
        <v>516</v>
      </c>
      <c r="DW47" s="192" t="s">
        <v>284</v>
      </c>
      <c r="DX47" s="59" t="s">
        <v>285</v>
      </c>
      <c r="DY47" s="184" t="s">
        <v>286</v>
      </c>
      <c r="DZ47" s="184" t="s">
        <v>494</v>
      </c>
      <c r="EA47" s="99">
        <f>1.7-0</f>
        <v>1.7</v>
      </c>
      <c r="EB47" s="59">
        <v>2538</v>
      </c>
      <c r="EC47" s="59" t="s">
        <v>185</v>
      </c>
      <c r="ED47" s="185">
        <v>0.619</v>
      </c>
      <c r="EE47" s="185">
        <v>1.435</v>
      </c>
      <c r="EF47" s="185">
        <v>0.432</v>
      </c>
      <c r="EG47" s="186" t="s">
        <v>376</v>
      </c>
      <c r="EH47" s="102" t="s">
        <v>399</v>
      </c>
      <c r="EI47" s="187">
        <v>1</v>
      </c>
      <c r="EJ47" s="187">
        <v>0.7</v>
      </c>
      <c r="EK47" s="185">
        <v>0.018</v>
      </c>
      <c r="EL47" s="185">
        <v>0.407</v>
      </c>
      <c r="EM47" s="187">
        <v>0.06</v>
      </c>
      <c r="EN47" s="187">
        <v>0.85</v>
      </c>
      <c r="EO47" s="103">
        <f t="shared" si="4"/>
        <v>0.15000000000000002</v>
      </c>
      <c r="EP47" s="59">
        <v>0.15</v>
      </c>
      <c r="EQ47" s="187">
        <v>1</v>
      </c>
      <c r="ER47" s="187">
        <v>1</v>
      </c>
      <c r="ES47" s="59"/>
      <c r="ET47" s="187">
        <v>5</v>
      </c>
      <c r="EU47" s="59"/>
      <c r="EV47" s="187">
        <v>5</v>
      </c>
      <c r="EW47" s="187">
        <v>15</v>
      </c>
      <c r="EX47" s="187">
        <v>15</v>
      </c>
      <c r="EY47" s="99"/>
      <c r="EZ47" s="170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</row>
    <row r="48" spans="1:202" ht="27" customHeight="1">
      <c r="A48" s="92"/>
      <c r="B48" s="93"/>
      <c r="C48" s="94"/>
      <c r="D48" s="94"/>
      <c r="E48" s="94"/>
      <c r="F48" s="95"/>
      <c r="G48" s="96"/>
      <c r="H48" s="96"/>
      <c r="I48" s="59"/>
      <c r="J48" s="59"/>
      <c r="K48" s="95"/>
      <c r="L48" s="95"/>
      <c r="M48" s="59"/>
      <c r="N48" s="59"/>
      <c r="O48" s="95"/>
      <c r="P48" s="59"/>
      <c r="Q48" s="59"/>
      <c r="R48" s="59"/>
      <c r="S48" s="97"/>
      <c r="T48" s="59"/>
      <c r="U48" s="98"/>
      <c r="V48" s="99"/>
      <c r="W48" s="98"/>
      <c r="X48" s="99"/>
      <c r="Y48" s="98"/>
      <c r="Z48" s="99"/>
      <c r="AA48" s="59"/>
      <c r="AB48" s="59"/>
      <c r="AC48" s="59"/>
      <c r="AD48" s="59"/>
      <c r="AE48" s="100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 t="s">
        <v>516</v>
      </c>
      <c r="DW48" s="192" t="s">
        <v>284</v>
      </c>
      <c r="DX48" s="59" t="s">
        <v>285</v>
      </c>
      <c r="DY48" s="184" t="s">
        <v>494</v>
      </c>
      <c r="DZ48" s="184" t="s">
        <v>495</v>
      </c>
      <c r="EA48" s="99">
        <f>2.05-1.7</f>
        <v>0.34999999999999987</v>
      </c>
      <c r="EB48" s="59">
        <v>2538</v>
      </c>
      <c r="EC48" s="59" t="s">
        <v>185</v>
      </c>
      <c r="ED48" s="185">
        <v>0.394</v>
      </c>
      <c r="EE48" s="185">
        <v>1.02</v>
      </c>
      <c r="EF48" s="185">
        <v>0.386</v>
      </c>
      <c r="EG48" s="186" t="s">
        <v>376</v>
      </c>
      <c r="EH48" s="102" t="s">
        <v>399</v>
      </c>
      <c r="EI48" s="187">
        <v>0.8</v>
      </c>
      <c r="EJ48" s="187">
        <v>0.6</v>
      </c>
      <c r="EK48" s="185">
        <v>0.018</v>
      </c>
      <c r="EL48" s="185">
        <v>0.344</v>
      </c>
      <c r="EM48" s="187">
        <v>0.06</v>
      </c>
      <c r="EN48" s="187">
        <v>0.75</v>
      </c>
      <c r="EO48" s="103">
        <f t="shared" si="4"/>
        <v>0.15000000000000002</v>
      </c>
      <c r="EP48" s="59">
        <v>0.15</v>
      </c>
      <c r="EQ48" s="187">
        <v>0.8</v>
      </c>
      <c r="ER48" s="187">
        <v>0.8</v>
      </c>
      <c r="ES48" s="59"/>
      <c r="ET48" s="187">
        <v>5</v>
      </c>
      <c r="EU48" s="59"/>
      <c r="EV48" s="187">
        <v>5</v>
      </c>
      <c r="EW48" s="187">
        <v>15</v>
      </c>
      <c r="EX48" s="187">
        <v>15</v>
      </c>
      <c r="EY48" s="99"/>
      <c r="EZ48" s="170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</row>
    <row r="49" spans="1:202" ht="27" customHeight="1">
      <c r="A49" s="92"/>
      <c r="B49" s="93"/>
      <c r="C49" s="94"/>
      <c r="D49" s="94"/>
      <c r="E49" s="94"/>
      <c r="F49" s="95"/>
      <c r="G49" s="96"/>
      <c r="H49" s="96"/>
      <c r="I49" s="59"/>
      <c r="J49" s="59"/>
      <c r="K49" s="95"/>
      <c r="L49" s="95"/>
      <c r="M49" s="59"/>
      <c r="N49" s="59"/>
      <c r="O49" s="95"/>
      <c r="P49" s="59"/>
      <c r="Q49" s="59"/>
      <c r="R49" s="59"/>
      <c r="S49" s="97"/>
      <c r="T49" s="59"/>
      <c r="U49" s="98"/>
      <c r="V49" s="99"/>
      <c r="W49" s="98"/>
      <c r="X49" s="99"/>
      <c r="Y49" s="98"/>
      <c r="Z49" s="99"/>
      <c r="AA49" s="59"/>
      <c r="AB49" s="59"/>
      <c r="AC49" s="59"/>
      <c r="AD49" s="59"/>
      <c r="AE49" s="100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 t="s">
        <v>516</v>
      </c>
      <c r="DW49" s="192" t="s">
        <v>284</v>
      </c>
      <c r="DX49" s="59" t="s">
        <v>285</v>
      </c>
      <c r="DY49" s="184" t="s">
        <v>495</v>
      </c>
      <c r="DZ49" s="184" t="s">
        <v>496</v>
      </c>
      <c r="EA49" s="99">
        <f>2.6-2.05</f>
        <v>0.5500000000000003</v>
      </c>
      <c r="EB49" s="59">
        <v>2538</v>
      </c>
      <c r="EC49" s="59" t="s">
        <v>185</v>
      </c>
      <c r="ED49" s="185">
        <v>0.227</v>
      </c>
      <c r="EE49" s="185">
        <v>0.675</v>
      </c>
      <c r="EF49" s="185">
        <v>0.337</v>
      </c>
      <c r="EG49" s="186" t="s">
        <v>376</v>
      </c>
      <c r="EH49" s="102" t="s">
        <v>399</v>
      </c>
      <c r="EI49" s="187">
        <v>0.6</v>
      </c>
      <c r="EJ49" s="187">
        <v>0.5</v>
      </c>
      <c r="EK49" s="185">
        <v>0.018</v>
      </c>
      <c r="EL49" s="185">
        <v>0.281</v>
      </c>
      <c r="EM49" s="187">
        <v>0.06</v>
      </c>
      <c r="EN49" s="187">
        <v>0.65</v>
      </c>
      <c r="EO49" s="103">
        <f t="shared" si="4"/>
        <v>0.15000000000000002</v>
      </c>
      <c r="EP49" s="59">
        <v>0.15</v>
      </c>
      <c r="EQ49" s="187">
        <v>0.6</v>
      </c>
      <c r="ER49" s="187">
        <v>0.6</v>
      </c>
      <c r="ES49" s="59"/>
      <c r="ET49" s="187">
        <v>5</v>
      </c>
      <c r="EU49" s="59"/>
      <c r="EV49" s="187">
        <v>5</v>
      </c>
      <c r="EW49" s="187">
        <v>15</v>
      </c>
      <c r="EX49" s="187">
        <v>15</v>
      </c>
      <c r="EY49" s="99"/>
      <c r="EZ49" s="170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</row>
    <row r="50" spans="1:202" ht="27" customHeight="1">
      <c r="A50" s="92"/>
      <c r="B50" s="93"/>
      <c r="C50" s="94"/>
      <c r="D50" s="94"/>
      <c r="E50" s="94"/>
      <c r="F50" s="95"/>
      <c r="G50" s="96"/>
      <c r="H50" s="96"/>
      <c r="I50" s="59"/>
      <c r="J50" s="59"/>
      <c r="K50" s="95"/>
      <c r="L50" s="95"/>
      <c r="M50" s="59"/>
      <c r="N50" s="59"/>
      <c r="O50" s="95"/>
      <c r="P50" s="59"/>
      <c r="Q50" s="59"/>
      <c r="R50" s="59"/>
      <c r="S50" s="97"/>
      <c r="T50" s="59"/>
      <c r="U50" s="98"/>
      <c r="V50" s="99"/>
      <c r="W50" s="98"/>
      <c r="X50" s="99"/>
      <c r="Y50" s="98"/>
      <c r="Z50" s="99"/>
      <c r="AA50" s="59"/>
      <c r="AB50" s="59"/>
      <c r="AC50" s="59"/>
      <c r="AD50" s="59"/>
      <c r="AE50" s="100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 t="s">
        <v>516</v>
      </c>
      <c r="DW50" s="192" t="s">
        <v>17</v>
      </c>
      <c r="DX50" s="59" t="s">
        <v>285</v>
      </c>
      <c r="DY50" s="184" t="s">
        <v>496</v>
      </c>
      <c r="DZ50" s="184" t="s">
        <v>497</v>
      </c>
      <c r="EA50" s="99">
        <f>2.8-2.6</f>
        <v>0.19999999999999973</v>
      </c>
      <c r="EB50" s="59">
        <v>2538</v>
      </c>
      <c r="EC50" s="59" t="s">
        <v>185</v>
      </c>
      <c r="ED50" s="185">
        <v>0.155</v>
      </c>
      <c r="EE50" s="185">
        <v>0.56</v>
      </c>
      <c r="EF50" s="185">
        <v>0.277</v>
      </c>
      <c r="EG50" s="186" t="s">
        <v>512</v>
      </c>
      <c r="EH50" s="102" t="s">
        <v>399</v>
      </c>
      <c r="EI50" s="187">
        <v>0.6</v>
      </c>
      <c r="EJ50" s="187">
        <v>0.4</v>
      </c>
      <c r="EK50" s="185">
        <v>0.025</v>
      </c>
      <c r="EL50" s="185">
        <v>0.234</v>
      </c>
      <c r="EM50" s="187" t="s">
        <v>185</v>
      </c>
      <c r="EN50" s="187" t="s">
        <v>185</v>
      </c>
      <c r="EO50" s="103">
        <v>0</v>
      </c>
      <c r="EP50" s="59">
        <v>0.15</v>
      </c>
      <c r="EQ50" s="187">
        <v>0.6</v>
      </c>
      <c r="ER50" s="187">
        <v>0.6</v>
      </c>
      <c r="ES50" s="59"/>
      <c r="ET50" s="187" t="s">
        <v>185</v>
      </c>
      <c r="EU50" s="59"/>
      <c r="EV50" s="187" t="s">
        <v>185</v>
      </c>
      <c r="EW50" s="187">
        <v>10</v>
      </c>
      <c r="EX50" s="187">
        <v>10</v>
      </c>
      <c r="EY50" s="99"/>
      <c r="EZ50" s="170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</row>
    <row r="51" spans="1:202" ht="27" customHeight="1">
      <c r="A51" s="92"/>
      <c r="B51" s="93"/>
      <c r="C51" s="94"/>
      <c r="D51" s="94"/>
      <c r="E51" s="94"/>
      <c r="F51" s="95"/>
      <c r="G51" s="96"/>
      <c r="H51" s="96"/>
      <c r="I51" s="59"/>
      <c r="J51" s="59"/>
      <c r="K51" s="95"/>
      <c r="L51" s="95"/>
      <c r="M51" s="59"/>
      <c r="N51" s="59"/>
      <c r="O51" s="95"/>
      <c r="P51" s="59"/>
      <c r="Q51" s="59"/>
      <c r="R51" s="59"/>
      <c r="S51" s="97"/>
      <c r="T51" s="59"/>
      <c r="U51" s="98"/>
      <c r="V51" s="99"/>
      <c r="W51" s="98"/>
      <c r="X51" s="99"/>
      <c r="Y51" s="98"/>
      <c r="Z51" s="99"/>
      <c r="AA51" s="59"/>
      <c r="AB51" s="59"/>
      <c r="AC51" s="59"/>
      <c r="AD51" s="59"/>
      <c r="AE51" s="100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 t="s">
        <v>517</v>
      </c>
      <c r="DW51" s="192" t="s">
        <v>284</v>
      </c>
      <c r="DX51" s="59" t="s">
        <v>285</v>
      </c>
      <c r="DY51" s="184" t="s">
        <v>286</v>
      </c>
      <c r="DZ51" s="184" t="s">
        <v>318</v>
      </c>
      <c r="EA51" s="99">
        <f>1.05-0</f>
        <v>1.05</v>
      </c>
      <c r="EB51" s="59">
        <v>2538</v>
      </c>
      <c r="EC51" s="59" t="s">
        <v>185</v>
      </c>
      <c r="ED51" s="185">
        <v>0.454</v>
      </c>
      <c r="EE51" s="185">
        <v>1.14</v>
      </c>
      <c r="EF51" s="185">
        <v>0.398</v>
      </c>
      <c r="EG51" s="186" t="s">
        <v>376</v>
      </c>
      <c r="EH51" s="102" t="s">
        <v>399</v>
      </c>
      <c r="EI51" s="187">
        <v>1</v>
      </c>
      <c r="EJ51" s="187">
        <v>0.6</v>
      </c>
      <c r="EK51" s="185">
        <v>0.018</v>
      </c>
      <c r="EL51" s="185">
        <v>0.36</v>
      </c>
      <c r="EM51" s="187">
        <v>0.06</v>
      </c>
      <c r="EN51" s="187">
        <v>0.75</v>
      </c>
      <c r="EO51" s="103">
        <f t="shared" si="4"/>
        <v>0.15000000000000002</v>
      </c>
      <c r="EP51" s="59">
        <v>0.15</v>
      </c>
      <c r="EQ51" s="187">
        <v>1</v>
      </c>
      <c r="ER51" s="187">
        <v>1</v>
      </c>
      <c r="ES51" s="59"/>
      <c r="ET51" s="187">
        <v>5</v>
      </c>
      <c r="EU51" s="59"/>
      <c r="EV51" s="187">
        <v>5</v>
      </c>
      <c r="EW51" s="187">
        <v>15</v>
      </c>
      <c r="EX51" s="187">
        <v>15</v>
      </c>
      <c r="EY51" s="99"/>
      <c r="EZ51" s="170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</row>
    <row r="52" spans="1:202" ht="27" customHeight="1">
      <c r="A52" s="92"/>
      <c r="B52" s="93"/>
      <c r="C52" s="94"/>
      <c r="D52" s="94"/>
      <c r="E52" s="94"/>
      <c r="F52" s="95"/>
      <c r="G52" s="96"/>
      <c r="H52" s="96"/>
      <c r="I52" s="59"/>
      <c r="J52" s="59"/>
      <c r="K52" s="95"/>
      <c r="L52" s="95"/>
      <c r="M52" s="59"/>
      <c r="N52" s="59"/>
      <c r="O52" s="95"/>
      <c r="P52" s="59"/>
      <c r="Q52" s="59"/>
      <c r="R52" s="59"/>
      <c r="S52" s="97"/>
      <c r="T52" s="59"/>
      <c r="U52" s="98"/>
      <c r="V52" s="99"/>
      <c r="W52" s="98"/>
      <c r="X52" s="99"/>
      <c r="Y52" s="98"/>
      <c r="Z52" s="99"/>
      <c r="AA52" s="59"/>
      <c r="AB52" s="59"/>
      <c r="AC52" s="59"/>
      <c r="AD52" s="59"/>
      <c r="AE52" s="100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 t="s">
        <v>517</v>
      </c>
      <c r="DW52" s="192" t="s">
        <v>284</v>
      </c>
      <c r="DX52" s="59" t="s">
        <v>285</v>
      </c>
      <c r="DY52" s="184" t="s">
        <v>318</v>
      </c>
      <c r="DZ52" s="184" t="s">
        <v>498</v>
      </c>
      <c r="EA52" s="99">
        <f>1.65-1.05</f>
        <v>0.5999999999999999</v>
      </c>
      <c r="EB52" s="59">
        <v>2538</v>
      </c>
      <c r="EC52" s="59" t="s">
        <v>185</v>
      </c>
      <c r="ED52" s="185">
        <v>0.183</v>
      </c>
      <c r="EE52" s="185">
        <v>0.574</v>
      </c>
      <c r="EF52" s="185">
        <v>0.319</v>
      </c>
      <c r="EG52" s="186" t="s">
        <v>376</v>
      </c>
      <c r="EH52" s="102" t="s">
        <v>399</v>
      </c>
      <c r="EI52" s="187">
        <v>0.6</v>
      </c>
      <c r="EJ52" s="187">
        <v>0.45</v>
      </c>
      <c r="EK52" s="185">
        <v>0.018</v>
      </c>
      <c r="EL52" s="185">
        <v>0.235</v>
      </c>
      <c r="EM52" s="187">
        <v>0.06</v>
      </c>
      <c r="EN52" s="187">
        <v>0.6</v>
      </c>
      <c r="EO52" s="103">
        <f t="shared" si="4"/>
        <v>0.14999999999999997</v>
      </c>
      <c r="EP52" s="59">
        <v>0.15</v>
      </c>
      <c r="EQ52" s="187">
        <v>0.6</v>
      </c>
      <c r="ER52" s="187">
        <v>0.6</v>
      </c>
      <c r="ES52" s="59"/>
      <c r="ET52" s="187">
        <v>5</v>
      </c>
      <c r="EU52" s="59"/>
      <c r="EV52" s="187">
        <v>5</v>
      </c>
      <c r="EW52" s="187">
        <v>15</v>
      </c>
      <c r="EX52" s="187">
        <v>15</v>
      </c>
      <c r="EY52" s="99"/>
      <c r="EZ52" s="170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</row>
    <row r="53" spans="1:202" ht="27" customHeight="1">
      <c r="A53" s="92"/>
      <c r="B53" s="93"/>
      <c r="C53" s="94"/>
      <c r="D53" s="94"/>
      <c r="E53" s="94"/>
      <c r="F53" s="95"/>
      <c r="G53" s="96"/>
      <c r="H53" s="96"/>
      <c r="I53" s="59"/>
      <c r="J53" s="59"/>
      <c r="K53" s="95"/>
      <c r="L53" s="95"/>
      <c r="M53" s="59"/>
      <c r="N53" s="59"/>
      <c r="O53" s="95"/>
      <c r="P53" s="59"/>
      <c r="Q53" s="59"/>
      <c r="R53" s="59"/>
      <c r="S53" s="97"/>
      <c r="T53" s="59"/>
      <c r="U53" s="98"/>
      <c r="V53" s="99"/>
      <c r="W53" s="98"/>
      <c r="X53" s="99"/>
      <c r="Y53" s="98"/>
      <c r="Z53" s="99"/>
      <c r="AA53" s="59"/>
      <c r="AB53" s="59"/>
      <c r="AC53" s="59"/>
      <c r="AD53" s="59"/>
      <c r="AE53" s="100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 t="s">
        <v>517</v>
      </c>
      <c r="DW53" s="192" t="s">
        <v>17</v>
      </c>
      <c r="DX53" s="59" t="s">
        <v>285</v>
      </c>
      <c r="DY53" s="184" t="s">
        <v>498</v>
      </c>
      <c r="DZ53" s="184" t="s">
        <v>499</v>
      </c>
      <c r="EA53" s="99">
        <f>1.75-1.65</f>
        <v>0.10000000000000009</v>
      </c>
      <c r="EB53" s="59">
        <v>2538</v>
      </c>
      <c r="EC53" s="59" t="s">
        <v>185</v>
      </c>
      <c r="ED53" s="185">
        <v>0.155</v>
      </c>
      <c r="EE53" s="185">
        <v>0.56</v>
      </c>
      <c r="EF53" s="185">
        <v>0.277</v>
      </c>
      <c r="EG53" s="186" t="s">
        <v>512</v>
      </c>
      <c r="EH53" s="102" t="s">
        <v>399</v>
      </c>
      <c r="EI53" s="187">
        <v>0.6</v>
      </c>
      <c r="EJ53" s="187">
        <v>0.4</v>
      </c>
      <c r="EK53" s="185">
        <v>0.025</v>
      </c>
      <c r="EL53" s="185">
        <v>0.234</v>
      </c>
      <c r="EM53" s="187" t="s">
        <v>185</v>
      </c>
      <c r="EN53" s="187"/>
      <c r="EO53" s="103">
        <v>0</v>
      </c>
      <c r="EP53" s="59">
        <v>0.15</v>
      </c>
      <c r="EQ53" s="187">
        <v>0.6</v>
      </c>
      <c r="ER53" s="187">
        <v>0.6</v>
      </c>
      <c r="ES53" s="59"/>
      <c r="ET53" s="187"/>
      <c r="EU53" s="59"/>
      <c r="EV53" s="187"/>
      <c r="EW53" s="187">
        <v>10</v>
      </c>
      <c r="EX53" s="187">
        <v>10</v>
      </c>
      <c r="EY53" s="99"/>
      <c r="EZ53" s="170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</row>
    <row r="54" spans="1:202" ht="27" customHeight="1">
      <c r="A54" s="92"/>
      <c r="B54" s="93"/>
      <c r="C54" s="94"/>
      <c r="D54" s="94"/>
      <c r="E54" s="94"/>
      <c r="F54" s="95"/>
      <c r="G54" s="96"/>
      <c r="H54" s="96"/>
      <c r="I54" s="59"/>
      <c r="J54" s="59"/>
      <c r="K54" s="95"/>
      <c r="L54" s="95"/>
      <c r="M54" s="59"/>
      <c r="N54" s="59"/>
      <c r="O54" s="95"/>
      <c r="P54" s="59"/>
      <c r="Q54" s="59"/>
      <c r="R54" s="59"/>
      <c r="S54" s="97"/>
      <c r="T54" s="59"/>
      <c r="U54" s="98"/>
      <c r="V54" s="99"/>
      <c r="W54" s="98"/>
      <c r="X54" s="99"/>
      <c r="Y54" s="98"/>
      <c r="Z54" s="99"/>
      <c r="AA54" s="59"/>
      <c r="AB54" s="59"/>
      <c r="AC54" s="59"/>
      <c r="AD54" s="59"/>
      <c r="AE54" s="100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 t="s">
        <v>518</v>
      </c>
      <c r="DW54" s="59"/>
      <c r="DX54" s="59" t="s">
        <v>285</v>
      </c>
      <c r="DY54" s="184" t="s">
        <v>286</v>
      </c>
      <c r="DZ54" s="184" t="s">
        <v>500</v>
      </c>
      <c r="EA54" s="99">
        <f>0.9-0</f>
        <v>0.9</v>
      </c>
      <c r="EB54" s="59">
        <v>2538</v>
      </c>
      <c r="EC54" s="59" t="s">
        <v>185</v>
      </c>
      <c r="ED54" s="185">
        <v>0.394</v>
      </c>
      <c r="EE54" s="185">
        <v>1.02</v>
      </c>
      <c r="EF54" s="185">
        <v>0.386</v>
      </c>
      <c r="EG54" s="186" t="s">
        <v>376</v>
      </c>
      <c r="EH54" s="102" t="s">
        <v>399</v>
      </c>
      <c r="EI54" s="187">
        <v>0.8</v>
      </c>
      <c r="EJ54" s="187">
        <v>0.6</v>
      </c>
      <c r="EK54" s="185">
        <v>0.018</v>
      </c>
      <c r="EL54" s="185">
        <v>0.344</v>
      </c>
      <c r="EM54" s="187">
        <v>0.06</v>
      </c>
      <c r="EN54" s="187">
        <v>0.75</v>
      </c>
      <c r="EO54" s="103">
        <f t="shared" si="4"/>
        <v>0.15000000000000002</v>
      </c>
      <c r="EP54" s="59">
        <v>0.15</v>
      </c>
      <c r="EQ54" s="187">
        <v>0.8</v>
      </c>
      <c r="ER54" s="187">
        <v>0.8</v>
      </c>
      <c r="ES54" s="59"/>
      <c r="ET54" s="187">
        <v>5</v>
      </c>
      <c r="EU54" s="59"/>
      <c r="EV54" s="187">
        <v>5</v>
      </c>
      <c r="EW54" s="187">
        <v>15</v>
      </c>
      <c r="EX54" s="187">
        <v>15</v>
      </c>
      <c r="EY54" s="99"/>
      <c r="EZ54" s="170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</row>
    <row r="55" spans="1:202" ht="27" customHeight="1">
      <c r="A55" s="92"/>
      <c r="B55" s="93"/>
      <c r="C55" s="94"/>
      <c r="D55" s="94"/>
      <c r="E55" s="94"/>
      <c r="F55" s="95"/>
      <c r="G55" s="96"/>
      <c r="H55" s="96"/>
      <c r="I55" s="59"/>
      <c r="J55" s="59"/>
      <c r="K55" s="95"/>
      <c r="L55" s="95"/>
      <c r="M55" s="59"/>
      <c r="N55" s="59"/>
      <c r="O55" s="95"/>
      <c r="P55" s="59"/>
      <c r="Q55" s="59"/>
      <c r="R55" s="59"/>
      <c r="S55" s="97"/>
      <c r="T55" s="59"/>
      <c r="U55" s="98"/>
      <c r="V55" s="99"/>
      <c r="W55" s="98"/>
      <c r="X55" s="99"/>
      <c r="Y55" s="98"/>
      <c r="Z55" s="99"/>
      <c r="AA55" s="59"/>
      <c r="AB55" s="59"/>
      <c r="AC55" s="59"/>
      <c r="AD55" s="59"/>
      <c r="AE55" s="100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 t="s">
        <v>518</v>
      </c>
      <c r="DW55" s="59"/>
      <c r="DX55" s="59" t="s">
        <v>285</v>
      </c>
      <c r="DY55" s="184" t="s">
        <v>500</v>
      </c>
      <c r="DZ55" s="184" t="s">
        <v>501</v>
      </c>
      <c r="EA55" s="99">
        <f>1.55-0.9</f>
        <v>0.65</v>
      </c>
      <c r="EB55" s="59">
        <v>2538</v>
      </c>
      <c r="EC55" s="59" t="s">
        <v>185</v>
      </c>
      <c r="ED55" s="185">
        <v>0.206</v>
      </c>
      <c r="EE55" s="185">
        <v>0.625</v>
      </c>
      <c r="EF55" s="185">
        <v>0.329</v>
      </c>
      <c r="EG55" s="186" t="s">
        <v>376</v>
      </c>
      <c r="EH55" s="102" t="s">
        <v>399</v>
      </c>
      <c r="EI55" s="187">
        <v>0.5</v>
      </c>
      <c r="EJ55" s="187">
        <v>0.5</v>
      </c>
      <c r="EK55" s="185">
        <v>0.018</v>
      </c>
      <c r="EL55" s="185">
        <v>0.271</v>
      </c>
      <c r="EM55" s="187">
        <v>0.06</v>
      </c>
      <c r="EN55" s="187">
        <v>0.65</v>
      </c>
      <c r="EO55" s="103">
        <f t="shared" si="4"/>
        <v>0.15000000000000002</v>
      </c>
      <c r="EP55" s="59">
        <v>0.15</v>
      </c>
      <c r="EQ55" s="187">
        <v>0.5</v>
      </c>
      <c r="ER55" s="187">
        <v>0.5</v>
      </c>
      <c r="ES55" s="59"/>
      <c r="ET55" s="187">
        <v>5</v>
      </c>
      <c r="EU55" s="59"/>
      <c r="EV55" s="187">
        <v>5</v>
      </c>
      <c r="EW55" s="187">
        <v>15</v>
      </c>
      <c r="EX55" s="187">
        <v>15</v>
      </c>
      <c r="EY55" s="99"/>
      <c r="EZ55" s="170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</row>
    <row r="56" spans="1:202" ht="27" customHeight="1">
      <c r="A56" s="92"/>
      <c r="B56" s="93"/>
      <c r="C56" s="94"/>
      <c r="D56" s="94"/>
      <c r="E56" s="94"/>
      <c r="F56" s="95"/>
      <c r="G56" s="96"/>
      <c r="H56" s="96"/>
      <c r="I56" s="59"/>
      <c r="J56" s="59"/>
      <c r="K56" s="95"/>
      <c r="L56" s="95"/>
      <c r="M56" s="59"/>
      <c r="N56" s="59"/>
      <c r="O56" s="95"/>
      <c r="P56" s="59"/>
      <c r="Q56" s="59"/>
      <c r="R56" s="59"/>
      <c r="S56" s="97"/>
      <c r="T56" s="59"/>
      <c r="U56" s="98"/>
      <c r="V56" s="99"/>
      <c r="W56" s="98"/>
      <c r="X56" s="99"/>
      <c r="Y56" s="98"/>
      <c r="Z56" s="99"/>
      <c r="AA56" s="59"/>
      <c r="AB56" s="59"/>
      <c r="AC56" s="59"/>
      <c r="AD56" s="59"/>
      <c r="AE56" s="100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 t="s">
        <v>518</v>
      </c>
      <c r="DW56" s="59"/>
      <c r="DX56" s="59" t="s">
        <v>285</v>
      </c>
      <c r="DY56" s="184" t="s">
        <v>501</v>
      </c>
      <c r="DZ56" s="184" t="s">
        <v>502</v>
      </c>
      <c r="EA56" s="99">
        <f>2.09-1.55</f>
        <v>0.5399999999999998</v>
      </c>
      <c r="EB56" s="59">
        <v>2538</v>
      </c>
      <c r="EC56" s="59" t="s">
        <v>185</v>
      </c>
      <c r="ED56" s="185">
        <v>0.135</v>
      </c>
      <c r="EE56" s="185">
        <v>0.625</v>
      </c>
      <c r="EF56" s="185">
        <v>0.216</v>
      </c>
      <c r="EG56" s="186" t="s">
        <v>324</v>
      </c>
      <c r="EH56" s="102" t="s">
        <v>399</v>
      </c>
      <c r="EI56" s="187">
        <v>0.5</v>
      </c>
      <c r="EJ56" s="187">
        <v>0.5</v>
      </c>
      <c r="EK56" s="185">
        <v>0.025</v>
      </c>
      <c r="EL56" s="185">
        <v>0.271</v>
      </c>
      <c r="EM56" s="187" t="s">
        <v>185</v>
      </c>
      <c r="EN56" s="187" t="s">
        <v>185</v>
      </c>
      <c r="EO56" s="103">
        <v>0</v>
      </c>
      <c r="EP56" s="59">
        <v>0.15</v>
      </c>
      <c r="EQ56" s="187">
        <v>0.5</v>
      </c>
      <c r="ER56" s="187">
        <v>0.5</v>
      </c>
      <c r="ES56" s="59"/>
      <c r="ET56" s="187">
        <v>2</v>
      </c>
      <c r="EU56" s="59"/>
      <c r="EV56" s="187">
        <v>2</v>
      </c>
      <c r="EW56" s="187">
        <v>10</v>
      </c>
      <c r="EX56" s="187">
        <v>10</v>
      </c>
      <c r="EY56" s="99"/>
      <c r="EZ56" s="170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</row>
    <row r="57" spans="1:202" ht="27" customHeight="1">
      <c r="A57" s="92"/>
      <c r="B57" s="93"/>
      <c r="C57" s="94"/>
      <c r="D57" s="94"/>
      <c r="E57" s="94"/>
      <c r="F57" s="95"/>
      <c r="G57" s="96"/>
      <c r="H57" s="96"/>
      <c r="I57" s="59"/>
      <c r="J57" s="59"/>
      <c r="K57" s="95"/>
      <c r="L57" s="95"/>
      <c r="M57" s="59"/>
      <c r="N57" s="59"/>
      <c r="O57" s="95"/>
      <c r="P57" s="59"/>
      <c r="Q57" s="59"/>
      <c r="R57" s="59"/>
      <c r="S57" s="97"/>
      <c r="T57" s="59"/>
      <c r="U57" s="98"/>
      <c r="V57" s="99"/>
      <c r="W57" s="98"/>
      <c r="X57" s="99"/>
      <c r="Y57" s="98"/>
      <c r="Z57" s="99"/>
      <c r="AA57" s="59"/>
      <c r="AB57" s="59"/>
      <c r="AC57" s="59"/>
      <c r="AD57" s="59"/>
      <c r="AE57" s="100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 t="s">
        <v>519</v>
      </c>
      <c r="DW57" s="192" t="s">
        <v>284</v>
      </c>
      <c r="DX57" s="59" t="s">
        <v>285</v>
      </c>
      <c r="DY57" s="184" t="s">
        <v>286</v>
      </c>
      <c r="DZ57" s="184" t="s">
        <v>287</v>
      </c>
      <c r="EA57" s="99">
        <f>1.1-0</f>
        <v>1.1</v>
      </c>
      <c r="EB57" s="59">
        <v>2538</v>
      </c>
      <c r="EC57" s="59" t="s">
        <v>185</v>
      </c>
      <c r="ED57" s="185">
        <v>0.335</v>
      </c>
      <c r="EE57" s="185">
        <v>0.9</v>
      </c>
      <c r="EF57" s="185">
        <v>0.372</v>
      </c>
      <c r="EG57" s="186" t="s">
        <v>376</v>
      </c>
      <c r="EH57" s="102" t="s">
        <v>399</v>
      </c>
      <c r="EI57" s="187">
        <v>0.6</v>
      </c>
      <c r="EJ57" s="187">
        <v>0.6</v>
      </c>
      <c r="EK57" s="185">
        <v>0.018</v>
      </c>
      <c r="EL57" s="185">
        <v>0.326</v>
      </c>
      <c r="EM57" s="187">
        <v>0.6</v>
      </c>
      <c r="EN57" s="187">
        <v>0.75</v>
      </c>
      <c r="EO57" s="103">
        <f t="shared" si="4"/>
        <v>0.15000000000000002</v>
      </c>
      <c r="EP57" s="59">
        <v>0.15</v>
      </c>
      <c r="EQ57" s="187">
        <v>0.6</v>
      </c>
      <c r="ER57" s="187">
        <v>0.6</v>
      </c>
      <c r="ES57" s="59"/>
      <c r="ET57" s="187">
        <v>5</v>
      </c>
      <c r="EU57" s="59"/>
      <c r="EV57" s="187">
        <v>5</v>
      </c>
      <c r="EW57" s="187">
        <v>15</v>
      </c>
      <c r="EX57" s="187">
        <v>15</v>
      </c>
      <c r="EY57" s="99"/>
      <c r="EZ57" s="170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</row>
    <row r="58" spans="1:202" ht="27" customHeight="1">
      <c r="A58" s="92"/>
      <c r="B58" s="93"/>
      <c r="C58" s="94"/>
      <c r="D58" s="94"/>
      <c r="E58" s="94"/>
      <c r="F58" s="95"/>
      <c r="G58" s="96"/>
      <c r="H58" s="96"/>
      <c r="I58" s="59"/>
      <c r="J58" s="59"/>
      <c r="K58" s="95"/>
      <c r="L58" s="95"/>
      <c r="M58" s="59"/>
      <c r="N58" s="59"/>
      <c r="O58" s="95"/>
      <c r="P58" s="59"/>
      <c r="Q58" s="59"/>
      <c r="R58" s="59"/>
      <c r="S58" s="97"/>
      <c r="T58" s="59"/>
      <c r="U58" s="98"/>
      <c r="V58" s="99"/>
      <c r="W58" s="98"/>
      <c r="X58" s="99"/>
      <c r="Y58" s="98"/>
      <c r="Z58" s="99"/>
      <c r="AA58" s="59"/>
      <c r="AB58" s="59"/>
      <c r="AC58" s="59"/>
      <c r="AD58" s="59"/>
      <c r="AE58" s="100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 t="s">
        <v>519</v>
      </c>
      <c r="DW58" s="192" t="s">
        <v>17</v>
      </c>
      <c r="DX58" s="59" t="s">
        <v>285</v>
      </c>
      <c r="DY58" s="184" t="s">
        <v>287</v>
      </c>
      <c r="DZ58" s="184" t="s">
        <v>503</v>
      </c>
      <c r="EA58" s="99">
        <f>1.5-1.1</f>
        <v>0.3999999999999999</v>
      </c>
      <c r="EB58" s="59">
        <v>2538</v>
      </c>
      <c r="EC58" s="59" t="s">
        <v>185</v>
      </c>
      <c r="ED58" s="185">
        <v>0.135</v>
      </c>
      <c r="EE58" s="185">
        <v>0.625</v>
      </c>
      <c r="EF58" s="185">
        <v>0.216</v>
      </c>
      <c r="EG58" s="186" t="s">
        <v>324</v>
      </c>
      <c r="EH58" s="102" t="s">
        <v>399</v>
      </c>
      <c r="EI58" s="187">
        <v>0.5</v>
      </c>
      <c r="EJ58" s="187">
        <v>0.5</v>
      </c>
      <c r="EK58" s="185">
        <v>0.025</v>
      </c>
      <c r="EL58" s="185">
        <v>0.217</v>
      </c>
      <c r="EM58" s="187" t="s">
        <v>185</v>
      </c>
      <c r="EN58" s="187"/>
      <c r="EO58" s="103">
        <v>0</v>
      </c>
      <c r="EP58" s="59">
        <v>0.15</v>
      </c>
      <c r="EQ58" s="187">
        <v>0.5</v>
      </c>
      <c r="ER58" s="187">
        <v>0.5</v>
      </c>
      <c r="ES58" s="59"/>
      <c r="ET58" s="187">
        <v>2</v>
      </c>
      <c r="EU58" s="59"/>
      <c r="EV58" s="187">
        <v>2</v>
      </c>
      <c r="EW58" s="187">
        <v>10</v>
      </c>
      <c r="EX58" s="187">
        <v>10</v>
      </c>
      <c r="EY58" s="99"/>
      <c r="EZ58" s="170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</row>
    <row r="59" spans="1:202" ht="27" customHeight="1">
      <c r="A59" s="92"/>
      <c r="B59" s="93"/>
      <c r="C59" s="94"/>
      <c r="D59" s="94"/>
      <c r="E59" s="94"/>
      <c r="F59" s="95"/>
      <c r="G59" s="96"/>
      <c r="H59" s="96"/>
      <c r="I59" s="59"/>
      <c r="J59" s="59"/>
      <c r="K59" s="95"/>
      <c r="L59" s="95"/>
      <c r="M59" s="59"/>
      <c r="N59" s="59"/>
      <c r="O59" s="95"/>
      <c r="P59" s="59"/>
      <c r="Q59" s="59"/>
      <c r="R59" s="59"/>
      <c r="S59" s="97"/>
      <c r="T59" s="59"/>
      <c r="U59" s="98"/>
      <c r="V59" s="99"/>
      <c r="W59" s="98"/>
      <c r="X59" s="99"/>
      <c r="Y59" s="98"/>
      <c r="Z59" s="99"/>
      <c r="AA59" s="59"/>
      <c r="AB59" s="59"/>
      <c r="AC59" s="59"/>
      <c r="AD59" s="59"/>
      <c r="AE59" s="100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 t="s">
        <v>520</v>
      </c>
      <c r="DW59" s="192" t="s">
        <v>284</v>
      </c>
      <c r="DX59" s="59" t="s">
        <v>285</v>
      </c>
      <c r="DY59" s="184" t="s">
        <v>286</v>
      </c>
      <c r="DZ59" s="184" t="s">
        <v>504</v>
      </c>
      <c r="EA59" s="99">
        <f>0.6-0</f>
        <v>0.6</v>
      </c>
      <c r="EB59" s="59">
        <v>2538</v>
      </c>
      <c r="EC59" s="59" t="s">
        <v>185</v>
      </c>
      <c r="ED59" s="185">
        <v>0.206</v>
      </c>
      <c r="EE59" s="185">
        <v>0.625</v>
      </c>
      <c r="EF59" s="185">
        <v>0.329</v>
      </c>
      <c r="EG59" s="186" t="s">
        <v>376</v>
      </c>
      <c r="EH59" s="102" t="s">
        <v>399</v>
      </c>
      <c r="EI59" s="187">
        <v>0.5</v>
      </c>
      <c r="EJ59" s="187">
        <v>0.5</v>
      </c>
      <c r="EK59" s="185">
        <v>0.018</v>
      </c>
      <c r="EL59" s="185">
        <v>0.271</v>
      </c>
      <c r="EM59" s="187">
        <v>0.06</v>
      </c>
      <c r="EN59" s="187">
        <v>0.65</v>
      </c>
      <c r="EO59" s="103">
        <f t="shared" si="4"/>
        <v>0.15000000000000002</v>
      </c>
      <c r="EP59" s="59">
        <v>0.15</v>
      </c>
      <c r="EQ59" s="187">
        <v>0.5</v>
      </c>
      <c r="ER59" s="187">
        <v>0.5</v>
      </c>
      <c r="ES59" s="59"/>
      <c r="ET59" s="187">
        <v>5</v>
      </c>
      <c r="EU59" s="59"/>
      <c r="EV59" s="187">
        <v>2</v>
      </c>
      <c r="EW59" s="187">
        <v>15</v>
      </c>
      <c r="EX59" s="187">
        <v>15</v>
      </c>
      <c r="EY59" s="99"/>
      <c r="EZ59" s="170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</row>
    <row r="60" spans="1:202" ht="27" customHeight="1">
      <c r="A60" s="92"/>
      <c r="B60" s="93"/>
      <c r="C60" s="94"/>
      <c r="D60" s="94"/>
      <c r="E60" s="94"/>
      <c r="F60" s="95"/>
      <c r="G60" s="96"/>
      <c r="H60" s="96"/>
      <c r="I60" s="59"/>
      <c r="J60" s="59"/>
      <c r="K60" s="95"/>
      <c r="L60" s="95"/>
      <c r="M60" s="59"/>
      <c r="N60" s="59"/>
      <c r="O60" s="95"/>
      <c r="P60" s="59"/>
      <c r="Q60" s="59"/>
      <c r="R60" s="59"/>
      <c r="S60" s="97"/>
      <c r="T60" s="59"/>
      <c r="U60" s="98"/>
      <c r="V60" s="99"/>
      <c r="W60" s="98"/>
      <c r="X60" s="99"/>
      <c r="Y60" s="98"/>
      <c r="Z60" s="99"/>
      <c r="AA60" s="59"/>
      <c r="AB60" s="59"/>
      <c r="AC60" s="59"/>
      <c r="AD60" s="59"/>
      <c r="AE60" s="100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 t="s">
        <v>520</v>
      </c>
      <c r="DW60" s="192" t="s">
        <v>17</v>
      </c>
      <c r="DX60" s="59" t="s">
        <v>285</v>
      </c>
      <c r="DY60" s="184" t="s">
        <v>504</v>
      </c>
      <c r="DZ60" s="184" t="s">
        <v>505</v>
      </c>
      <c r="EA60" s="99">
        <f>1.23-0.6</f>
        <v>0.63</v>
      </c>
      <c r="EB60" s="59">
        <v>2538</v>
      </c>
      <c r="EC60" s="59" t="s">
        <v>185</v>
      </c>
      <c r="ED60" s="185">
        <v>0.135</v>
      </c>
      <c r="EE60" s="185">
        <v>0.625</v>
      </c>
      <c r="EF60" s="185">
        <v>0.216</v>
      </c>
      <c r="EG60" s="186" t="s">
        <v>324</v>
      </c>
      <c r="EH60" s="102" t="s">
        <v>399</v>
      </c>
      <c r="EI60" s="187">
        <v>0.5</v>
      </c>
      <c r="EJ60" s="187">
        <v>0.5</v>
      </c>
      <c r="EK60" s="185">
        <v>0.025</v>
      </c>
      <c r="EL60" s="185">
        <v>0.271</v>
      </c>
      <c r="EM60" s="187" t="s">
        <v>185</v>
      </c>
      <c r="EN60" s="187" t="s">
        <v>185</v>
      </c>
      <c r="EO60" s="103">
        <v>0</v>
      </c>
      <c r="EP60" s="59">
        <v>0.15</v>
      </c>
      <c r="EQ60" s="187">
        <v>0.5</v>
      </c>
      <c r="ER60" s="187">
        <v>0.5</v>
      </c>
      <c r="ES60" s="59"/>
      <c r="ET60" s="187">
        <v>2</v>
      </c>
      <c r="EU60" s="59"/>
      <c r="EV60" s="187">
        <v>2</v>
      </c>
      <c r="EW60" s="187">
        <v>10</v>
      </c>
      <c r="EX60" s="187">
        <v>10</v>
      </c>
      <c r="EY60" s="99"/>
      <c r="EZ60" s="170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</row>
    <row r="61" spans="1:202" ht="27" customHeight="1">
      <c r="A61" s="92"/>
      <c r="B61" s="93"/>
      <c r="C61" s="94"/>
      <c r="D61" s="94"/>
      <c r="E61" s="94"/>
      <c r="F61" s="95"/>
      <c r="G61" s="96"/>
      <c r="H61" s="96"/>
      <c r="I61" s="59"/>
      <c r="J61" s="59"/>
      <c r="K61" s="95"/>
      <c r="L61" s="95"/>
      <c r="M61" s="59"/>
      <c r="N61" s="59"/>
      <c r="O61" s="95"/>
      <c r="P61" s="59"/>
      <c r="Q61" s="59"/>
      <c r="R61" s="59"/>
      <c r="S61" s="97"/>
      <c r="T61" s="59"/>
      <c r="U61" s="98"/>
      <c r="V61" s="99"/>
      <c r="W61" s="98"/>
      <c r="X61" s="99"/>
      <c r="Y61" s="98"/>
      <c r="Z61" s="99"/>
      <c r="AA61" s="59"/>
      <c r="AB61" s="59"/>
      <c r="AC61" s="59"/>
      <c r="AD61" s="59"/>
      <c r="AE61" s="100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 t="s">
        <v>521</v>
      </c>
      <c r="DW61" s="192" t="s">
        <v>284</v>
      </c>
      <c r="DX61" s="59" t="s">
        <v>285</v>
      </c>
      <c r="DY61" s="184" t="s">
        <v>286</v>
      </c>
      <c r="DZ61" s="184" t="s">
        <v>506</v>
      </c>
      <c r="EA61" s="99">
        <f>0.75-0</f>
        <v>0.75</v>
      </c>
      <c r="EB61" s="59">
        <v>2538</v>
      </c>
      <c r="EC61" s="59" t="s">
        <v>185</v>
      </c>
      <c r="ED61" s="185">
        <v>0.278</v>
      </c>
      <c r="EE61" s="185">
        <v>0.784</v>
      </c>
      <c r="EF61" s="185">
        <v>0.855</v>
      </c>
      <c r="EG61" s="186" t="s">
        <v>376</v>
      </c>
      <c r="EH61" s="102" t="s">
        <v>399</v>
      </c>
      <c r="EI61" s="187">
        <v>0.6</v>
      </c>
      <c r="EJ61" s="187">
        <v>0.55</v>
      </c>
      <c r="EK61" s="185">
        <v>0.018</v>
      </c>
      <c r="EL61" s="185">
        <v>0.303</v>
      </c>
      <c r="EM61" s="187">
        <v>0.06</v>
      </c>
      <c r="EN61" s="187">
        <v>0.7</v>
      </c>
      <c r="EO61" s="103">
        <f t="shared" si="4"/>
        <v>0.1499999999999999</v>
      </c>
      <c r="EP61" s="59">
        <v>0.15</v>
      </c>
      <c r="EQ61" s="187">
        <v>0.6</v>
      </c>
      <c r="ER61" s="187">
        <v>0.6</v>
      </c>
      <c r="ES61" s="59"/>
      <c r="ET61" s="187">
        <v>5</v>
      </c>
      <c r="EU61" s="59"/>
      <c r="EV61" s="187">
        <v>2</v>
      </c>
      <c r="EW61" s="187">
        <v>15</v>
      </c>
      <c r="EX61" s="187">
        <v>15</v>
      </c>
      <c r="EY61" s="99"/>
      <c r="EZ61" s="170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</row>
    <row r="62" spans="1:202" ht="27" customHeight="1">
      <c r="A62" s="92"/>
      <c r="B62" s="93"/>
      <c r="C62" s="94"/>
      <c r="D62" s="94"/>
      <c r="E62" s="94"/>
      <c r="F62" s="95"/>
      <c r="G62" s="96"/>
      <c r="H62" s="96"/>
      <c r="I62" s="59"/>
      <c r="J62" s="59"/>
      <c r="K62" s="95"/>
      <c r="L62" s="95"/>
      <c r="M62" s="59"/>
      <c r="N62" s="59"/>
      <c r="O62" s="95"/>
      <c r="P62" s="59"/>
      <c r="Q62" s="59"/>
      <c r="R62" s="59"/>
      <c r="S62" s="97"/>
      <c r="T62" s="59"/>
      <c r="U62" s="98"/>
      <c r="V62" s="99"/>
      <c r="W62" s="98"/>
      <c r="X62" s="99"/>
      <c r="Y62" s="98"/>
      <c r="Z62" s="99"/>
      <c r="AA62" s="59"/>
      <c r="AB62" s="59"/>
      <c r="AC62" s="59"/>
      <c r="AD62" s="59"/>
      <c r="AE62" s="100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 t="s">
        <v>521</v>
      </c>
      <c r="DW62" s="192" t="s">
        <v>17</v>
      </c>
      <c r="DX62" s="59" t="s">
        <v>285</v>
      </c>
      <c r="DY62" s="184" t="s">
        <v>506</v>
      </c>
      <c r="DZ62" s="184" t="s">
        <v>507</v>
      </c>
      <c r="EA62" s="99">
        <f>1.52-0.75</f>
        <v>0.77</v>
      </c>
      <c r="EB62" s="59">
        <v>2538</v>
      </c>
      <c r="EC62" s="59" t="s">
        <v>185</v>
      </c>
      <c r="ED62" s="185">
        <v>0.185</v>
      </c>
      <c r="EE62" s="185">
        <v>0.625</v>
      </c>
      <c r="EF62" s="185">
        <v>0.216</v>
      </c>
      <c r="EG62" s="186" t="s">
        <v>324</v>
      </c>
      <c r="EH62" s="102" t="s">
        <v>399</v>
      </c>
      <c r="EI62" s="187">
        <v>0.5</v>
      </c>
      <c r="EJ62" s="187">
        <v>0.5</v>
      </c>
      <c r="EK62" s="185">
        <v>0.025</v>
      </c>
      <c r="EL62" s="185">
        <v>0.271</v>
      </c>
      <c r="EM62" s="187" t="s">
        <v>185</v>
      </c>
      <c r="EN62" s="187" t="s">
        <v>185</v>
      </c>
      <c r="EO62" s="103">
        <v>0</v>
      </c>
      <c r="EP62" s="59">
        <v>0.15</v>
      </c>
      <c r="EQ62" s="187">
        <v>0.5</v>
      </c>
      <c r="ER62" s="187">
        <v>0.5</v>
      </c>
      <c r="ES62" s="59"/>
      <c r="ET62" s="187">
        <v>2</v>
      </c>
      <c r="EU62" s="59"/>
      <c r="EV62" s="187">
        <v>2</v>
      </c>
      <c r="EW62" s="187">
        <v>10</v>
      </c>
      <c r="EX62" s="187">
        <v>10</v>
      </c>
      <c r="EY62" s="99"/>
      <c r="EZ62" s="170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</row>
    <row r="63" spans="1:202" ht="27" customHeight="1">
      <c r="A63" s="92"/>
      <c r="B63" s="93"/>
      <c r="C63" s="94"/>
      <c r="D63" s="94"/>
      <c r="E63" s="94"/>
      <c r="F63" s="95"/>
      <c r="G63" s="96"/>
      <c r="H63" s="96"/>
      <c r="I63" s="59"/>
      <c r="J63" s="59"/>
      <c r="K63" s="95"/>
      <c r="L63" s="95"/>
      <c r="M63" s="59"/>
      <c r="N63" s="59"/>
      <c r="O63" s="95"/>
      <c r="P63" s="59"/>
      <c r="Q63" s="59"/>
      <c r="R63" s="59"/>
      <c r="S63" s="97"/>
      <c r="T63" s="59"/>
      <c r="U63" s="98"/>
      <c r="V63" s="99"/>
      <c r="W63" s="98"/>
      <c r="X63" s="99"/>
      <c r="Y63" s="98"/>
      <c r="Z63" s="99"/>
      <c r="AA63" s="59"/>
      <c r="AB63" s="59"/>
      <c r="AC63" s="59"/>
      <c r="AD63" s="59"/>
      <c r="AE63" s="100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 t="s">
        <v>522</v>
      </c>
      <c r="DW63" s="192" t="s">
        <v>284</v>
      </c>
      <c r="DX63" s="59" t="s">
        <v>285</v>
      </c>
      <c r="DY63" s="184" t="s">
        <v>286</v>
      </c>
      <c r="DZ63" s="184" t="s">
        <v>508</v>
      </c>
      <c r="EA63" s="99">
        <f>0.65-0</f>
        <v>0.65</v>
      </c>
      <c r="EB63" s="59">
        <v>2538</v>
      </c>
      <c r="EC63" s="59" t="s">
        <v>185</v>
      </c>
      <c r="ED63" s="185">
        <v>0.465</v>
      </c>
      <c r="EE63" s="185">
        <v>1.154</v>
      </c>
      <c r="EF63" s="185">
        <v>0.403</v>
      </c>
      <c r="EG63" s="186" t="s">
        <v>376</v>
      </c>
      <c r="EH63" s="102" t="s">
        <v>399</v>
      </c>
      <c r="EI63" s="187">
        <v>0.8</v>
      </c>
      <c r="EJ63" s="187">
        <v>0.65</v>
      </c>
      <c r="EK63" s="185">
        <v>0.018</v>
      </c>
      <c r="EL63" s="185">
        <v>0.367</v>
      </c>
      <c r="EM63" s="187">
        <v>0.06</v>
      </c>
      <c r="EN63" s="187">
        <v>0.8</v>
      </c>
      <c r="EO63" s="103">
        <f aca="true" t="shared" si="5" ref="EO63:EO99">+EN63-EJ63</f>
        <v>0.15000000000000002</v>
      </c>
      <c r="EP63" s="59">
        <v>0.15</v>
      </c>
      <c r="EQ63" s="187">
        <v>0.8</v>
      </c>
      <c r="ER63" s="187">
        <v>0.8</v>
      </c>
      <c r="ES63" s="59"/>
      <c r="ET63" s="187">
        <v>5</v>
      </c>
      <c r="EU63" s="59"/>
      <c r="EV63" s="187">
        <v>2</v>
      </c>
      <c r="EW63" s="187">
        <v>15</v>
      </c>
      <c r="EX63" s="187">
        <v>15</v>
      </c>
      <c r="EY63" s="99"/>
      <c r="EZ63" s="170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</row>
    <row r="64" spans="1:202" ht="27" customHeight="1">
      <c r="A64" s="92"/>
      <c r="B64" s="93"/>
      <c r="C64" s="94"/>
      <c r="D64" s="94"/>
      <c r="E64" s="94"/>
      <c r="F64" s="95"/>
      <c r="G64" s="96"/>
      <c r="H64" s="96"/>
      <c r="I64" s="59"/>
      <c r="J64" s="59"/>
      <c r="K64" s="95"/>
      <c r="L64" s="95"/>
      <c r="M64" s="59"/>
      <c r="N64" s="59"/>
      <c r="O64" s="95"/>
      <c r="P64" s="59"/>
      <c r="Q64" s="59"/>
      <c r="R64" s="59"/>
      <c r="S64" s="97"/>
      <c r="T64" s="59"/>
      <c r="U64" s="98"/>
      <c r="V64" s="99"/>
      <c r="W64" s="98"/>
      <c r="X64" s="99"/>
      <c r="Y64" s="98"/>
      <c r="Z64" s="99"/>
      <c r="AA64" s="59"/>
      <c r="AB64" s="59"/>
      <c r="AC64" s="59"/>
      <c r="AD64" s="59"/>
      <c r="AE64" s="100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 t="s">
        <v>522</v>
      </c>
      <c r="DW64" s="192" t="s">
        <v>284</v>
      </c>
      <c r="DX64" s="59" t="s">
        <v>285</v>
      </c>
      <c r="DY64" s="184" t="s">
        <v>508</v>
      </c>
      <c r="DZ64" s="184" t="s">
        <v>318</v>
      </c>
      <c r="EA64" s="99">
        <f>1.05-0.65</f>
        <v>0.4</v>
      </c>
      <c r="EB64" s="59">
        <v>2538</v>
      </c>
      <c r="EC64" s="59" t="s">
        <v>185</v>
      </c>
      <c r="ED64" s="185">
        <v>0.128</v>
      </c>
      <c r="EE64" s="185">
        <v>0.44</v>
      </c>
      <c r="EF64" s="185">
        <v>0.292</v>
      </c>
      <c r="EG64" s="186" t="s">
        <v>376</v>
      </c>
      <c r="EH64" s="102" t="s">
        <v>399</v>
      </c>
      <c r="EI64" s="187">
        <v>0.5</v>
      </c>
      <c r="EJ64" s="187">
        <v>0.4</v>
      </c>
      <c r="EK64" s="185">
        <v>0.018</v>
      </c>
      <c r="EL64" s="185">
        <v>0.226</v>
      </c>
      <c r="EM64" s="187">
        <v>0.06</v>
      </c>
      <c r="EN64" s="187">
        <v>0.55</v>
      </c>
      <c r="EO64" s="103">
        <f t="shared" si="5"/>
        <v>0.15000000000000002</v>
      </c>
      <c r="EP64" s="59">
        <v>0.15</v>
      </c>
      <c r="EQ64" s="187">
        <v>0.5</v>
      </c>
      <c r="ER64" s="187">
        <v>0.5</v>
      </c>
      <c r="ES64" s="59"/>
      <c r="ET64" s="187">
        <v>5</v>
      </c>
      <c r="EU64" s="59"/>
      <c r="EV64" s="187">
        <v>2</v>
      </c>
      <c r="EW64" s="187">
        <v>15</v>
      </c>
      <c r="EX64" s="187">
        <v>15</v>
      </c>
      <c r="EY64" s="99"/>
      <c r="EZ64" s="170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</row>
    <row r="65" spans="1:202" ht="27" customHeight="1">
      <c r="A65" s="92"/>
      <c r="B65" s="93"/>
      <c r="C65" s="94"/>
      <c r="D65" s="94"/>
      <c r="E65" s="94"/>
      <c r="F65" s="95"/>
      <c r="G65" s="96"/>
      <c r="H65" s="96"/>
      <c r="I65" s="59"/>
      <c r="J65" s="59"/>
      <c r="K65" s="95"/>
      <c r="L65" s="95"/>
      <c r="M65" s="59"/>
      <c r="N65" s="59"/>
      <c r="O65" s="95"/>
      <c r="P65" s="59"/>
      <c r="Q65" s="59"/>
      <c r="R65" s="59"/>
      <c r="S65" s="97"/>
      <c r="T65" s="59"/>
      <c r="U65" s="98"/>
      <c r="V65" s="99"/>
      <c r="W65" s="98"/>
      <c r="X65" s="99"/>
      <c r="Y65" s="98"/>
      <c r="Z65" s="99"/>
      <c r="AA65" s="59"/>
      <c r="AB65" s="59"/>
      <c r="AC65" s="59"/>
      <c r="AD65" s="59"/>
      <c r="AE65" s="100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 t="s">
        <v>522</v>
      </c>
      <c r="DW65" s="192" t="s">
        <v>17</v>
      </c>
      <c r="DX65" s="59" t="s">
        <v>285</v>
      </c>
      <c r="DY65" s="184" t="s">
        <v>318</v>
      </c>
      <c r="DZ65" s="184" t="s">
        <v>509</v>
      </c>
      <c r="EA65" s="99">
        <f>2.02-1.05</f>
        <v>0.97</v>
      </c>
      <c r="EB65" s="59">
        <v>2538</v>
      </c>
      <c r="EC65" s="59" t="s">
        <v>185</v>
      </c>
      <c r="ED65" s="185">
        <v>0.135</v>
      </c>
      <c r="EE65" s="185">
        <v>0.625</v>
      </c>
      <c r="EF65" s="185">
        <v>0.216</v>
      </c>
      <c r="EG65" s="186" t="s">
        <v>324</v>
      </c>
      <c r="EH65" s="102" t="s">
        <v>399</v>
      </c>
      <c r="EI65" s="187">
        <v>0.5</v>
      </c>
      <c r="EJ65" s="187">
        <v>0.5</v>
      </c>
      <c r="EK65" s="185">
        <v>0.025</v>
      </c>
      <c r="EL65" s="185">
        <v>0.271</v>
      </c>
      <c r="EM65" s="187" t="s">
        <v>185</v>
      </c>
      <c r="EN65" s="187" t="s">
        <v>185</v>
      </c>
      <c r="EO65" s="103">
        <v>0</v>
      </c>
      <c r="EP65" s="59">
        <v>0.15</v>
      </c>
      <c r="EQ65" s="187">
        <v>0.5</v>
      </c>
      <c r="ER65" s="187">
        <v>0.5</v>
      </c>
      <c r="ES65" s="59"/>
      <c r="ET65" s="187">
        <v>2</v>
      </c>
      <c r="EU65" s="59"/>
      <c r="EV65" s="187">
        <v>2</v>
      </c>
      <c r="EW65" s="187">
        <v>10</v>
      </c>
      <c r="EX65" s="187">
        <v>10</v>
      </c>
      <c r="EY65" s="99"/>
      <c r="EZ65" s="170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</row>
    <row r="66" spans="1:202" ht="27" customHeight="1">
      <c r="A66" s="92"/>
      <c r="B66" s="93"/>
      <c r="C66" s="94"/>
      <c r="D66" s="94"/>
      <c r="E66" s="94"/>
      <c r="F66" s="95"/>
      <c r="G66" s="96"/>
      <c r="H66" s="96"/>
      <c r="I66" s="59"/>
      <c r="J66" s="59"/>
      <c r="K66" s="95"/>
      <c r="L66" s="95"/>
      <c r="M66" s="59"/>
      <c r="N66" s="59"/>
      <c r="O66" s="95"/>
      <c r="P66" s="59"/>
      <c r="Q66" s="59"/>
      <c r="R66" s="59"/>
      <c r="S66" s="97"/>
      <c r="T66" s="59"/>
      <c r="U66" s="98"/>
      <c r="V66" s="99"/>
      <c r="W66" s="98"/>
      <c r="X66" s="99"/>
      <c r="Y66" s="98"/>
      <c r="Z66" s="99"/>
      <c r="AA66" s="59"/>
      <c r="AB66" s="59"/>
      <c r="AC66" s="59"/>
      <c r="AD66" s="59"/>
      <c r="AE66" s="100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 t="s">
        <v>283</v>
      </c>
      <c r="DW66" s="59" t="s">
        <v>284</v>
      </c>
      <c r="DX66" s="59" t="s">
        <v>285</v>
      </c>
      <c r="DY66" s="59" t="s">
        <v>286</v>
      </c>
      <c r="DZ66" s="59" t="s">
        <v>398</v>
      </c>
      <c r="EA66" s="99">
        <v>3.81</v>
      </c>
      <c r="EB66" s="59">
        <v>2538</v>
      </c>
      <c r="EC66" s="59" t="s">
        <v>185</v>
      </c>
      <c r="ED66" s="99">
        <v>8.22</v>
      </c>
      <c r="EE66" s="99">
        <v>11.865</v>
      </c>
      <c r="EF66" s="59">
        <v>0.693</v>
      </c>
      <c r="EG66" s="196">
        <v>1.8</v>
      </c>
      <c r="EH66" s="102" t="s">
        <v>399</v>
      </c>
      <c r="EI66" s="103">
        <v>2.5</v>
      </c>
      <c r="EJ66" s="103">
        <v>2.1</v>
      </c>
      <c r="EK66" s="59">
        <v>0.018</v>
      </c>
      <c r="EL66" s="59">
        <v>1.178</v>
      </c>
      <c r="EM66" s="59">
        <v>0.06</v>
      </c>
      <c r="EN66" s="59">
        <v>2.45</v>
      </c>
      <c r="EO66" s="103">
        <f t="shared" si="5"/>
        <v>0.3500000000000001</v>
      </c>
      <c r="EP66" s="59">
        <v>0.15</v>
      </c>
      <c r="EQ66" s="59" t="s">
        <v>400</v>
      </c>
      <c r="ER66" s="59" t="s">
        <v>400</v>
      </c>
      <c r="ES66" s="59" t="s">
        <v>401</v>
      </c>
      <c r="ET66" s="103">
        <v>6</v>
      </c>
      <c r="EU66" s="59" t="s">
        <v>400</v>
      </c>
      <c r="EV66" s="103">
        <v>2</v>
      </c>
      <c r="EW66" s="103">
        <v>25</v>
      </c>
      <c r="EX66" s="103">
        <v>20</v>
      </c>
      <c r="EY66" s="99">
        <v>230.45</v>
      </c>
      <c r="EZ66" s="170">
        <v>228</v>
      </c>
      <c r="FA66" s="167">
        <v>1.2</v>
      </c>
      <c r="FB66" s="167">
        <v>1.2</v>
      </c>
      <c r="FC66" s="167">
        <v>2</v>
      </c>
      <c r="FD66" s="167">
        <v>1</v>
      </c>
      <c r="FE66" s="167" t="s">
        <v>400</v>
      </c>
      <c r="FF66" s="167" t="s">
        <v>400</v>
      </c>
      <c r="FG66" s="167" t="s">
        <v>400</v>
      </c>
      <c r="FH66" s="167" t="s">
        <v>400</v>
      </c>
      <c r="FI66" s="167" t="s">
        <v>400</v>
      </c>
      <c r="FJ66" s="167">
        <v>2</v>
      </c>
      <c r="FK66" s="167">
        <v>2</v>
      </c>
      <c r="FL66" s="167" t="s">
        <v>400</v>
      </c>
      <c r="FM66" s="167" t="s">
        <v>400</v>
      </c>
      <c r="FN66" s="167" t="s">
        <v>400</v>
      </c>
      <c r="FO66" s="167" t="s">
        <v>400</v>
      </c>
      <c r="FP66" s="167">
        <v>3</v>
      </c>
      <c r="FQ66" s="167" t="s">
        <v>400</v>
      </c>
      <c r="FR66" s="167">
        <v>4</v>
      </c>
      <c r="FS66" s="167" t="s">
        <v>400</v>
      </c>
      <c r="FT66" s="167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</row>
    <row r="67" spans="1:202" ht="27" customHeight="1">
      <c r="A67" s="92"/>
      <c r="B67" s="93"/>
      <c r="C67" s="94"/>
      <c r="D67" s="94"/>
      <c r="E67" s="94"/>
      <c r="F67" s="95"/>
      <c r="G67" s="96"/>
      <c r="H67" s="96"/>
      <c r="I67" s="59"/>
      <c r="J67" s="59"/>
      <c r="K67" s="95"/>
      <c r="L67" s="95"/>
      <c r="M67" s="59"/>
      <c r="N67" s="59"/>
      <c r="O67" s="95"/>
      <c r="P67" s="59"/>
      <c r="Q67" s="59"/>
      <c r="R67" s="59"/>
      <c r="S67" s="97"/>
      <c r="T67" s="59"/>
      <c r="U67" s="98"/>
      <c r="V67" s="99"/>
      <c r="W67" s="98"/>
      <c r="X67" s="99"/>
      <c r="Y67" s="98"/>
      <c r="Z67" s="99"/>
      <c r="AA67" s="59"/>
      <c r="AB67" s="59"/>
      <c r="AC67" s="59"/>
      <c r="AD67" s="59"/>
      <c r="AE67" s="100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 t="s">
        <v>283</v>
      </c>
      <c r="DW67" s="59" t="s">
        <v>284</v>
      </c>
      <c r="DX67" s="59" t="s">
        <v>285</v>
      </c>
      <c r="DY67" s="59" t="s">
        <v>398</v>
      </c>
      <c r="DZ67" s="59" t="s">
        <v>402</v>
      </c>
      <c r="EA67" s="99">
        <v>6.8</v>
      </c>
      <c r="EB67" s="59">
        <v>2538</v>
      </c>
      <c r="EC67" s="59" t="s">
        <v>185</v>
      </c>
      <c r="ED67" s="59">
        <v>7.424</v>
      </c>
      <c r="EE67" s="99">
        <v>11</v>
      </c>
      <c r="EF67" s="59">
        <v>0.675</v>
      </c>
      <c r="EG67" s="196">
        <v>1.8</v>
      </c>
      <c r="EH67" s="59" t="s">
        <v>399</v>
      </c>
      <c r="EI67" s="103">
        <v>2.5</v>
      </c>
      <c r="EJ67" s="103">
        <v>2</v>
      </c>
      <c r="EK67" s="59">
        <v>0.018</v>
      </c>
      <c r="EL67" s="59">
        <v>1.133</v>
      </c>
      <c r="EM67" s="59">
        <v>0.06</v>
      </c>
      <c r="EN67" s="103">
        <v>2.3</v>
      </c>
      <c r="EO67" s="103">
        <f t="shared" si="5"/>
        <v>0.2999999999999998</v>
      </c>
      <c r="EP67" s="59">
        <v>0.15</v>
      </c>
      <c r="EQ67" s="59" t="s">
        <v>400</v>
      </c>
      <c r="ER67" s="59" t="s">
        <v>400</v>
      </c>
      <c r="ES67" s="59" t="s">
        <v>403</v>
      </c>
      <c r="ET67" s="103">
        <v>6</v>
      </c>
      <c r="EU67" s="59" t="s">
        <v>400</v>
      </c>
      <c r="EV67" s="103">
        <v>2</v>
      </c>
      <c r="EW67" s="103">
        <v>25</v>
      </c>
      <c r="EX67" s="103">
        <v>20</v>
      </c>
      <c r="EY67" s="59">
        <v>229.672</v>
      </c>
      <c r="EZ67" s="170">
        <v>227.7</v>
      </c>
      <c r="FA67" s="167">
        <v>1.2</v>
      </c>
      <c r="FB67" s="167">
        <v>1.2</v>
      </c>
      <c r="FC67" s="167">
        <v>1</v>
      </c>
      <c r="FD67" s="167">
        <v>2</v>
      </c>
      <c r="FE67" s="167" t="s">
        <v>400</v>
      </c>
      <c r="FF67" s="167" t="s">
        <v>400</v>
      </c>
      <c r="FG67" s="167" t="s">
        <v>400</v>
      </c>
      <c r="FH67" s="167" t="s">
        <v>400</v>
      </c>
      <c r="FI67" s="167" t="s">
        <v>400</v>
      </c>
      <c r="FJ67" s="167" t="s">
        <v>400</v>
      </c>
      <c r="FK67" s="167">
        <v>10</v>
      </c>
      <c r="FL67" s="167" t="s">
        <v>400</v>
      </c>
      <c r="FM67" s="167" t="s">
        <v>400</v>
      </c>
      <c r="FN67" s="167" t="s">
        <v>400</v>
      </c>
      <c r="FO67" s="167" t="s">
        <v>400</v>
      </c>
      <c r="FP67" s="167">
        <v>4</v>
      </c>
      <c r="FQ67" s="167" t="s">
        <v>400</v>
      </c>
      <c r="FR67" s="167">
        <v>13</v>
      </c>
      <c r="FS67" s="167" t="s">
        <v>400</v>
      </c>
      <c r="FT67" s="167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</row>
    <row r="68" spans="1:202" ht="27" customHeight="1">
      <c r="A68" s="92"/>
      <c r="B68" s="93"/>
      <c r="C68" s="94"/>
      <c r="D68" s="94"/>
      <c r="E68" s="94"/>
      <c r="F68" s="95"/>
      <c r="G68" s="96"/>
      <c r="H68" s="96"/>
      <c r="I68" s="59"/>
      <c r="J68" s="59"/>
      <c r="K68" s="95"/>
      <c r="L68" s="95"/>
      <c r="M68" s="59"/>
      <c r="N68" s="59"/>
      <c r="O68" s="95"/>
      <c r="P68" s="59"/>
      <c r="Q68" s="59"/>
      <c r="R68" s="59"/>
      <c r="S68" s="97"/>
      <c r="T68" s="59"/>
      <c r="U68" s="98"/>
      <c r="V68" s="99"/>
      <c r="W68" s="98"/>
      <c r="X68" s="99"/>
      <c r="Y68" s="98"/>
      <c r="Z68" s="99"/>
      <c r="AA68" s="59"/>
      <c r="AB68" s="59"/>
      <c r="AC68" s="59"/>
      <c r="AD68" s="59"/>
      <c r="AE68" s="100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 t="s">
        <v>283</v>
      </c>
      <c r="DW68" s="59" t="s">
        <v>284</v>
      </c>
      <c r="DX68" s="59" t="s">
        <v>285</v>
      </c>
      <c r="DY68" s="59" t="s">
        <v>402</v>
      </c>
      <c r="DZ68" s="59" t="s">
        <v>404</v>
      </c>
      <c r="EA68" s="99">
        <v>5.42</v>
      </c>
      <c r="EB68" s="59">
        <v>2538</v>
      </c>
      <c r="EC68" s="59" t="s">
        <v>185</v>
      </c>
      <c r="ED68" s="99">
        <v>5.86</v>
      </c>
      <c r="EE68" s="59">
        <v>9.024</v>
      </c>
      <c r="EF68" s="59">
        <v>0.637</v>
      </c>
      <c r="EG68" s="196">
        <v>1.8</v>
      </c>
      <c r="EH68" s="59" t="s">
        <v>399</v>
      </c>
      <c r="EI68" s="103">
        <v>2.2</v>
      </c>
      <c r="EJ68" s="59">
        <v>1.85</v>
      </c>
      <c r="EK68" s="59">
        <v>0.018</v>
      </c>
      <c r="EL68" s="59">
        <v>1.038</v>
      </c>
      <c r="EM68" s="59">
        <v>0.06</v>
      </c>
      <c r="EN68" s="59">
        <v>2.15</v>
      </c>
      <c r="EO68" s="103">
        <f t="shared" si="5"/>
        <v>0.2999999999999998</v>
      </c>
      <c r="EP68" s="59">
        <v>0.15</v>
      </c>
      <c r="EQ68" s="59" t="s">
        <v>400</v>
      </c>
      <c r="ER68" s="59" t="s">
        <v>400</v>
      </c>
      <c r="ES68" s="59" t="s">
        <v>405</v>
      </c>
      <c r="ET68" s="103">
        <v>6</v>
      </c>
      <c r="EU68" s="59" t="s">
        <v>400</v>
      </c>
      <c r="EV68" s="103">
        <v>2</v>
      </c>
      <c r="EW68" s="103">
        <v>25</v>
      </c>
      <c r="EX68" s="103">
        <v>20</v>
      </c>
      <c r="EY68" s="59">
        <v>228.274</v>
      </c>
      <c r="EZ68" s="168">
        <v>227.2</v>
      </c>
      <c r="FA68" s="167">
        <v>1.2</v>
      </c>
      <c r="FB68" s="167">
        <v>1.2</v>
      </c>
      <c r="FC68" s="167">
        <v>1</v>
      </c>
      <c r="FD68" s="167" t="s">
        <v>400</v>
      </c>
      <c r="FE68" s="167" t="s">
        <v>400</v>
      </c>
      <c r="FF68" s="167" t="s">
        <v>400</v>
      </c>
      <c r="FG68" s="167" t="s">
        <v>400</v>
      </c>
      <c r="FH68" s="167" t="s">
        <v>400</v>
      </c>
      <c r="FI68" s="167">
        <v>1</v>
      </c>
      <c r="FJ68" s="167">
        <v>4</v>
      </c>
      <c r="FK68" s="167">
        <v>5</v>
      </c>
      <c r="FL68" s="167" t="s">
        <v>400</v>
      </c>
      <c r="FM68" s="167" t="s">
        <v>400</v>
      </c>
      <c r="FN68" s="167" t="s">
        <v>400</v>
      </c>
      <c r="FO68" s="167" t="s">
        <v>400</v>
      </c>
      <c r="FP68" s="167">
        <v>2</v>
      </c>
      <c r="FQ68" s="167" t="s">
        <v>400</v>
      </c>
      <c r="FR68" s="167">
        <v>8</v>
      </c>
      <c r="FS68" s="167" t="s">
        <v>400</v>
      </c>
      <c r="FT68" s="167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</row>
    <row r="69" spans="1:202" ht="27" customHeight="1">
      <c r="A69" s="92"/>
      <c r="B69" s="93"/>
      <c r="C69" s="94"/>
      <c r="D69" s="94"/>
      <c r="E69" s="94"/>
      <c r="F69" s="95"/>
      <c r="G69" s="96"/>
      <c r="H69" s="96"/>
      <c r="I69" s="59"/>
      <c r="J69" s="59"/>
      <c r="K69" s="95"/>
      <c r="L69" s="95"/>
      <c r="M69" s="59"/>
      <c r="N69" s="59"/>
      <c r="O69" s="95"/>
      <c r="P69" s="59"/>
      <c r="Q69" s="59"/>
      <c r="R69" s="59"/>
      <c r="S69" s="97"/>
      <c r="T69" s="59"/>
      <c r="U69" s="98"/>
      <c r="V69" s="99"/>
      <c r="W69" s="98"/>
      <c r="X69" s="99"/>
      <c r="Y69" s="98"/>
      <c r="Z69" s="99"/>
      <c r="AA69" s="59"/>
      <c r="AB69" s="59"/>
      <c r="AC69" s="59"/>
      <c r="AD69" s="59"/>
      <c r="AE69" s="100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 t="s">
        <v>283</v>
      </c>
      <c r="DW69" s="59" t="s">
        <v>284</v>
      </c>
      <c r="DX69" s="59" t="s">
        <v>285</v>
      </c>
      <c r="DY69" s="59" t="s">
        <v>404</v>
      </c>
      <c r="DZ69" s="59" t="s">
        <v>406</v>
      </c>
      <c r="EA69" s="99">
        <v>10.32</v>
      </c>
      <c r="EB69" s="59">
        <v>2538</v>
      </c>
      <c r="EC69" s="59" t="s">
        <v>185</v>
      </c>
      <c r="ED69" s="59">
        <v>3.528</v>
      </c>
      <c r="EE69" s="59">
        <v>6.375</v>
      </c>
      <c r="EF69" s="59">
        <v>0.562</v>
      </c>
      <c r="EG69" s="196">
        <v>1.8</v>
      </c>
      <c r="EH69" s="59" t="s">
        <v>399</v>
      </c>
      <c r="EI69" s="103">
        <v>2</v>
      </c>
      <c r="EJ69" s="103">
        <v>1.5</v>
      </c>
      <c r="EK69" s="59">
        <v>0.018</v>
      </c>
      <c r="EL69" s="59">
        <v>0.861</v>
      </c>
      <c r="EM69" s="59">
        <v>0.06</v>
      </c>
      <c r="EN69" s="59">
        <v>1.75</v>
      </c>
      <c r="EO69" s="103">
        <f t="shared" si="5"/>
        <v>0.25</v>
      </c>
      <c r="EP69" s="59">
        <v>0.15</v>
      </c>
      <c r="EQ69" s="59" t="s">
        <v>400</v>
      </c>
      <c r="ER69" s="59" t="s">
        <v>400</v>
      </c>
      <c r="ES69" s="59" t="s">
        <v>405</v>
      </c>
      <c r="ET69" s="103">
        <v>6</v>
      </c>
      <c r="EU69" s="59" t="s">
        <v>400</v>
      </c>
      <c r="EV69" s="103">
        <v>2</v>
      </c>
      <c r="EW69" s="103">
        <v>25</v>
      </c>
      <c r="EX69" s="103">
        <v>20</v>
      </c>
      <c r="EY69" s="59">
        <v>227.569</v>
      </c>
      <c r="EZ69" s="168">
        <v>226.4</v>
      </c>
      <c r="FA69" s="167">
        <v>1.2</v>
      </c>
      <c r="FB69" s="167">
        <v>1.2</v>
      </c>
      <c r="FC69" s="167" t="s">
        <v>400</v>
      </c>
      <c r="FD69" s="167" t="s">
        <v>400</v>
      </c>
      <c r="FE69" s="167" t="s">
        <v>400</v>
      </c>
      <c r="FF69" s="167">
        <v>1</v>
      </c>
      <c r="FG69" s="167">
        <v>2</v>
      </c>
      <c r="FH69" s="167" t="s">
        <v>400</v>
      </c>
      <c r="FI69" s="167">
        <v>2</v>
      </c>
      <c r="FJ69" s="167" t="s">
        <v>400</v>
      </c>
      <c r="FK69" s="167">
        <v>8</v>
      </c>
      <c r="FL69" s="167" t="s">
        <v>400</v>
      </c>
      <c r="FM69" s="167">
        <v>1</v>
      </c>
      <c r="FN69" s="167" t="s">
        <v>400</v>
      </c>
      <c r="FO69" s="167" t="s">
        <v>400</v>
      </c>
      <c r="FP69" s="167">
        <v>3</v>
      </c>
      <c r="FQ69" s="167" t="s">
        <v>400</v>
      </c>
      <c r="FR69" s="167">
        <v>16</v>
      </c>
      <c r="FS69" s="167" t="s">
        <v>400</v>
      </c>
      <c r="FT69" s="167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  <c r="GR69" s="59"/>
      <c r="GS69" s="59"/>
      <c r="GT69" s="59"/>
    </row>
    <row r="70" spans="1:202" ht="27" customHeight="1">
      <c r="A70" s="92"/>
      <c r="B70" s="93"/>
      <c r="C70" s="94"/>
      <c r="D70" s="94"/>
      <c r="E70" s="94"/>
      <c r="F70" s="95"/>
      <c r="G70" s="96"/>
      <c r="H70" s="96"/>
      <c r="I70" s="59"/>
      <c r="J70" s="59"/>
      <c r="K70" s="95"/>
      <c r="L70" s="95"/>
      <c r="M70" s="59"/>
      <c r="N70" s="59"/>
      <c r="O70" s="95"/>
      <c r="P70" s="59"/>
      <c r="Q70" s="59"/>
      <c r="R70" s="59"/>
      <c r="S70" s="97"/>
      <c r="T70" s="59"/>
      <c r="U70" s="98"/>
      <c r="V70" s="99"/>
      <c r="W70" s="98"/>
      <c r="X70" s="99"/>
      <c r="Y70" s="98"/>
      <c r="Z70" s="99"/>
      <c r="AA70" s="59"/>
      <c r="AB70" s="59"/>
      <c r="AC70" s="59"/>
      <c r="AD70" s="59"/>
      <c r="AE70" s="100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 t="s">
        <v>283</v>
      </c>
      <c r="DW70" s="59" t="s">
        <v>284</v>
      </c>
      <c r="DX70" s="59" t="s">
        <v>285</v>
      </c>
      <c r="DY70" s="59" t="s">
        <v>406</v>
      </c>
      <c r="DZ70" s="59" t="s">
        <v>407</v>
      </c>
      <c r="EA70" s="59" t="s">
        <v>408</v>
      </c>
      <c r="EB70" s="59">
        <v>2538</v>
      </c>
      <c r="EC70" s="59" t="s">
        <v>185</v>
      </c>
      <c r="ED70" s="59">
        <v>3.109</v>
      </c>
      <c r="EE70" s="99">
        <v>5.74</v>
      </c>
      <c r="EF70" s="59">
        <v>0.542</v>
      </c>
      <c r="EG70" s="196">
        <v>1.8</v>
      </c>
      <c r="EH70" s="59" t="s">
        <v>399</v>
      </c>
      <c r="EI70" s="103">
        <v>2</v>
      </c>
      <c r="EJ70" s="103">
        <v>1.4</v>
      </c>
      <c r="EK70" s="59">
        <v>0.018</v>
      </c>
      <c r="EL70" s="59">
        <v>0.814</v>
      </c>
      <c r="EM70" s="59">
        <v>0.06</v>
      </c>
      <c r="EN70" s="59">
        <v>1.65</v>
      </c>
      <c r="EO70" s="103">
        <f t="shared" si="5"/>
        <v>0.25</v>
      </c>
      <c r="EP70" s="59">
        <v>0.15</v>
      </c>
      <c r="EQ70" s="59" t="s">
        <v>400</v>
      </c>
      <c r="ER70" s="59" t="s">
        <v>400</v>
      </c>
      <c r="ES70" s="59" t="s">
        <v>405</v>
      </c>
      <c r="ET70" s="103">
        <v>6</v>
      </c>
      <c r="EU70" s="59" t="s">
        <v>400</v>
      </c>
      <c r="EV70" s="103">
        <v>2</v>
      </c>
      <c r="EW70" s="103">
        <v>25</v>
      </c>
      <c r="EX70" s="103">
        <v>20</v>
      </c>
      <c r="EY70" s="59">
        <v>215.606</v>
      </c>
      <c r="EZ70" s="168">
        <v>216.1</v>
      </c>
      <c r="FA70" s="167">
        <v>1.2</v>
      </c>
      <c r="FB70" s="167">
        <v>1.2</v>
      </c>
      <c r="FC70" s="167">
        <v>2</v>
      </c>
      <c r="FD70" s="167" t="s">
        <v>400</v>
      </c>
      <c r="FE70" s="167" t="s">
        <v>400</v>
      </c>
      <c r="FF70" s="167">
        <v>1</v>
      </c>
      <c r="FG70" s="167" t="s">
        <v>400</v>
      </c>
      <c r="FH70" s="167" t="s">
        <v>400</v>
      </c>
      <c r="FI70" s="167" t="s">
        <v>400</v>
      </c>
      <c r="FJ70" s="167" t="s">
        <v>400</v>
      </c>
      <c r="FK70" s="167">
        <v>4</v>
      </c>
      <c r="FL70" s="167" t="s">
        <v>400</v>
      </c>
      <c r="FM70" s="167" t="s">
        <v>400</v>
      </c>
      <c r="FN70" s="167" t="s">
        <v>400</v>
      </c>
      <c r="FO70" s="167" t="s">
        <v>400</v>
      </c>
      <c r="FP70" s="167" t="s">
        <v>400</v>
      </c>
      <c r="FQ70" s="167" t="s">
        <v>400</v>
      </c>
      <c r="FR70" s="167">
        <v>2</v>
      </c>
      <c r="FS70" s="167" t="s">
        <v>400</v>
      </c>
      <c r="FT70" s="167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</row>
    <row r="71" spans="1:202" ht="27" customHeight="1">
      <c r="A71" s="92"/>
      <c r="B71" s="93"/>
      <c r="C71" s="94"/>
      <c r="D71" s="94"/>
      <c r="E71" s="94"/>
      <c r="F71" s="95"/>
      <c r="G71" s="96"/>
      <c r="H71" s="96"/>
      <c r="I71" s="59"/>
      <c r="J71" s="59"/>
      <c r="K71" s="95"/>
      <c r="L71" s="95"/>
      <c r="M71" s="59"/>
      <c r="N71" s="59"/>
      <c r="O71" s="95"/>
      <c r="P71" s="59"/>
      <c r="Q71" s="59"/>
      <c r="R71" s="59"/>
      <c r="S71" s="97"/>
      <c r="T71" s="59"/>
      <c r="U71" s="98"/>
      <c r="V71" s="99"/>
      <c r="W71" s="98"/>
      <c r="X71" s="99"/>
      <c r="Y71" s="98"/>
      <c r="Z71" s="99"/>
      <c r="AA71" s="59"/>
      <c r="AB71" s="59"/>
      <c r="AC71" s="59"/>
      <c r="AD71" s="59"/>
      <c r="AE71" s="100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 t="s">
        <v>283</v>
      </c>
      <c r="DW71" s="59" t="s">
        <v>284</v>
      </c>
      <c r="DX71" s="59" t="s">
        <v>285</v>
      </c>
      <c r="DY71" s="59" t="s">
        <v>460</v>
      </c>
      <c r="DZ71" s="59" t="s">
        <v>410</v>
      </c>
      <c r="EA71" s="59" t="s">
        <v>409</v>
      </c>
      <c r="EB71" s="59">
        <v>2538</v>
      </c>
      <c r="EC71" s="59" t="s">
        <v>185</v>
      </c>
      <c r="ED71" s="59">
        <v>2.471</v>
      </c>
      <c r="EE71" s="59">
        <v>4.844</v>
      </c>
      <c r="EF71" s="99">
        <v>0.51</v>
      </c>
      <c r="EG71" s="196">
        <v>1.8</v>
      </c>
      <c r="EH71" s="59" t="s">
        <v>399</v>
      </c>
      <c r="EI71" s="103">
        <v>2</v>
      </c>
      <c r="EJ71" s="59">
        <v>1.25</v>
      </c>
      <c r="EK71" s="59">
        <v>0.018</v>
      </c>
      <c r="EL71" s="59">
        <v>0.744</v>
      </c>
      <c r="EM71" s="59">
        <v>0.06</v>
      </c>
      <c r="EN71" s="59">
        <v>1.45</v>
      </c>
      <c r="EO71" s="103">
        <f t="shared" si="5"/>
        <v>0.19999999999999996</v>
      </c>
      <c r="EP71" s="59">
        <v>0.15</v>
      </c>
      <c r="EQ71" s="59" t="s">
        <v>400</v>
      </c>
      <c r="ER71" s="59" t="s">
        <v>400</v>
      </c>
      <c r="ES71" s="59" t="s">
        <v>405</v>
      </c>
      <c r="ET71" s="103">
        <v>6</v>
      </c>
      <c r="EU71" s="59" t="s">
        <v>400</v>
      </c>
      <c r="EV71" s="103">
        <v>2</v>
      </c>
      <c r="EW71" s="103">
        <v>20</v>
      </c>
      <c r="EX71" s="103">
        <v>20</v>
      </c>
      <c r="EY71" s="99">
        <v>215.089</v>
      </c>
      <c r="EZ71" s="168">
        <v>216</v>
      </c>
      <c r="FA71" s="167">
        <v>1.2</v>
      </c>
      <c r="FB71" s="167">
        <v>1.2</v>
      </c>
      <c r="FC71" s="167" t="s">
        <v>400</v>
      </c>
      <c r="FD71" s="167" t="s">
        <v>400</v>
      </c>
      <c r="FE71" s="167" t="s">
        <v>400</v>
      </c>
      <c r="FF71" s="167" t="s">
        <v>400</v>
      </c>
      <c r="FG71" s="167">
        <v>3</v>
      </c>
      <c r="FH71" s="167" t="s">
        <v>400</v>
      </c>
      <c r="FI71" s="167" t="s">
        <v>400</v>
      </c>
      <c r="FJ71" s="167" t="s">
        <v>400</v>
      </c>
      <c r="FK71" s="167" t="s">
        <v>400</v>
      </c>
      <c r="FL71" s="167" t="s">
        <v>400</v>
      </c>
      <c r="FM71" s="167" t="s">
        <v>400</v>
      </c>
      <c r="FN71" s="167" t="s">
        <v>400</v>
      </c>
      <c r="FO71" s="167" t="s">
        <v>400</v>
      </c>
      <c r="FP71" s="167">
        <v>1</v>
      </c>
      <c r="FQ71" s="167" t="s">
        <v>400</v>
      </c>
      <c r="FR71" s="167">
        <v>9</v>
      </c>
      <c r="FS71" s="167" t="s">
        <v>400</v>
      </c>
      <c r="FT71" s="167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</row>
    <row r="72" spans="1:202" ht="27" customHeight="1">
      <c r="A72" s="92"/>
      <c r="B72" s="93"/>
      <c r="C72" s="94"/>
      <c r="D72" s="94"/>
      <c r="E72" s="94"/>
      <c r="F72" s="95"/>
      <c r="G72" s="96"/>
      <c r="H72" s="96"/>
      <c r="I72" s="59"/>
      <c r="J72" s="59"/>
      <c r="K72" s="95"/>
      <c r="L72" s="95"/>
      <c r="M72" s="59"/>
      <c r="N72" s="59"/>
      <c r="O72" s="95"/>
      <c r="P72" s="59"/>
      <c r="Q72" s="59"/>
      <c r="R72" s="59"/>
      <c r="S72" s="97"/>
      <c r="T72" s="59"/>
      <c r="U72" s="98"/>
      <c r="V72" s="99"/>
      <c r="W72" s="98"/>
      <c r="X72" s="99"/>
      <c r="Y72" s="98"/>
      <c r="Z72" s="99"/>
      <c r="AA72" s="59"/>
      <c r="AB72" s="59"/>
      <c r="AC72" s="59"/>
      <c r="AD72" s="59"/>
      <c r="AE72" s="100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 t="s">
        <v>283</v>
      </c>
      <c r="DW72" s="59" t="s">
        <v>284</v>
      </c>
      <c r="DX72" s="59" t="s">
        <v>285</v>
      </c>
      <c r="DY72" s="59" t="s">
        <v>410</v>
      </c>
      <c r="DZ72" s="59" t="s">
        <v>411</v>
      </c>
      <c r="EA72" s="99">
        <v>2.75</v>
      </c>
      <c r="EB72" s="59">
        <v>2538</v>
      </c>
      <c r="EC72" s="59" t="s">
        <v>185</v>
      </c>
      <c r="ED72" s="59">
        <v>2.126</v>
      </c>
      <c r="EE72" s="99">
        <v>4.32</v>
      </c>
      <c r="EF72" s="59">
        <v>0.492</v>
      </c>
      <c r="EG72" s="196">
        <v>1.8</v>
      </c>
      <c r="EH72" s="102" t="s">
        <v>399</v>
      </c>
      <c r="EI72" s="103">
        <v>1.8</v>
      </c>
      <c r="EJ72" s="103">
        <v>1.2</v>
      </c>
      <c r="EK72" s="59">
        <v>0.018</v>
      </c>
      <c r="EL72" s="59">
        <v>0.705</v>
      </c>
      <c r="EM72" s="59">
        <v>0.06</v>
      </c>
      <c r="EN72" s="103">
        <v>1.4</v>
      </c>
      <c r="EO72" s="103">
        <f t="shared" si="5"/>
        <v>0.19999999999999996</v>
      </c>
      <c r="EP72" s="59">
        <v>0.15</v>
      </c>
      <c r="EQ72" s="59" t="s">
        <v>400</v>
      </c>
      <c r="ER72" s="59" t="s">
        <v>400</v>
      </c>
      <c r="ES72" s="59" t="s">
        <v>405</v>
      </c>
      <c r="ET72" s="103">
        <v>6</v>
      </c>
      <c r="EU72" s="59" t="s">
        <v>400</v>
      </c>
      <c r="EV72" s="103">
        <v>2</v>
      </c>
      <c r="EW72" s="103">
        <v>20</v>
      </c>
      <c r="EX72" s="103">
        <v>20</v>
      </c>
      <c r="EY72" s="59">
        <v>212.131</v>
      </c>
      <c r="EZ72" s="168">
        <v>210.6</v>
      </c>
      <c r="FA72" s="167">
        <v>1.2</v>
      </c>
      <c r="FB72" s="167">
        <v>1.2</v>
      </c>
      <c r="FC72" s="167">
        <v>1</v>
      </c>
      <c r="FD72" s="167" t="s">
        <v>400</v>
      </c>
      <c r="FE72" s="167">
        <v>1</v>
      </c>
      <c r="FF72" s="167" t="s">
        <v>400</v>
      </c>
      <c r="FG72" s="167">
        <v>3</v>
      </c>
      <c r="FH72" s="167" t="s">
        <v>400</v>
      </c>
      <c r="FI72" s="167" t="s">
        <v>400</v>
      </c>
      <c r="FJ72" s="167" t="s">
        <v>400</v>
      </c>
      <c r="FK72" s="167" t="s">
        <v>400</v>
      </c>
      <c r="FL72" s="167" t="s">
        <v>400</v>
      </c>
      <c r="FM72" s="167" t="s">
        <v>400</v>
      </c>
      <c r="FN72" s="167" t="s">
        <v>400</v>
      </c>
      <c r="FO72" s="167" t="s">
        <v>400</v>
      </c>
      <c r="FP72" s="167">
        <v>1</v>
      </c>
      <c r="FQ72" s="167" t="s">
        <v>400</v>
      </c>
      <c r="FR72" s="167">
        <v>6</v>
      </c>
      <c r="FS72" s="167" t="s">
        <v>400</v>
      </c>
      <c r="FT72" s="167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</row>
    <row r="73" spans="1:202" ht="27" customHeight="1">
      <c r="A73" s="92"/>
      <c r="B73" s="93"/>
      <c r="C73" s="94"/>
      <c r="D73" s="94"/>
      <c r="E73" s="94"/>
      <c r="F73" s="95"/>
      <c r="G73" s="96"/>
      <c r="H73" s="96"/>
      <c r="I73" s="59"/>
      <c r="J73" s="59"/>
      <c r="K73" s="95"/>
      <c r="L73" s="95"/>
      <c r="M73" s="59"/>
      <c r="N73" s="59"/>
      <c r="O73" s="95"/>
      <c r="P73" s="59"/>
      <c r="Q73" s="59"/>
      <c r="R73" s="59"/>
      <c r="S73" s="97"/>
      <c r="T73" s="59"/>
      <c r="U73" s="98"/>
      <c r="V73" s="99"/>
      <c r="W73" s="98"/>
      <c r="X73" s="99"/>
      <c r="Y73" s="98"/>
      <c r="Z73" s="99"/>
      <c r="AA73" s="59"/>
      <c r="AB73" s="59"/>
      <c r="AC73" s="59"/>
      <c r="AD73" s="59"/>
      <c r="AE73" s="100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 t="s">
        <v>283</v>
      </c>
      <c r="DW73" s="59" t="s">
        <v>284</v>
      </c>
      <c r="DX73" s="59" t="s">
        <v>285</v>
      </c>
      <c r="DY73" s="59" t="s">
        <v>411</v>
      </c>
      <c r="DZ73" s="59" t="s">
        <v>412</v>
      </c>
      <c r="EA73" s="99">
        <v>3.3</v>
      </c>
      <c r="EB73" s="59">
        <v>2538</v>
      </c>
      <c r="EC73" s="59" t="s">
        <v>185</v>
      </c>
      <c r="ED73" s="59">
        <v>1.307</v>
      </c>
      <c r="EE73" s="99">
        <v>3</v>
      </c>
      <c r="EF73" s="59">
        <v>0.436</v>
      </c>
      <c r="EG73" s="196">
        <v>1.8</v>
      </c>
      <c r="EH73" s="59" t="s">
        <v>399</v>
      </c>
      <c r="EI73" s="103">
        <v>1.5</v>
      </c>
      <c r="EJ73" s="103">
        <v>1</v>
      </c>
      <c r="EK73" s="59">
        <v>0.018</v>
      </c>
      <c r="EL73" s="59">
        <v>0.588</v>
      </c>
      <c r="EM73" s="59">
        <v>0.06</v>
      </c>
      <c r="EN73" s="103">
        <v>1.2</v>
      </c>
      <c r="EO73" s="103">
        <f t="shared" si="5"/>
        <v>0.19999999999999996</v>
      </c>
      <c r="EP73" s="59">
        <v>0.15</v>
      </c>
      <c r="EQ73" s="59" t="s">
        <v>400</v>
      </c>
      <c r="ER73" s="59" t="s">
        <v>400</v>
      </c>
      <c r="ES73" s="59" t="s">
        <v>405</v>
      </c>
      <c r="ET73" s="103">
        <v>6</v>
      </c>
      <c r="EU73" s="59" t="s">
        <v>400</v>
      </c>
      <c r="EV73" s="103">
        <v>2</v>
      </c>
      <c r="EW73" s="103">
        <v>20</v>
      </c>
      <c r="EX73" s="103">
        <v>15</v>
      </c>
      <c r="EY73" s="59">
        <v>208.987</v>
      </c>
      <c r="EZ73" s="168">
        <v>206.8</v>
      </c>
      <c r="FA73" s="167">
        <v>1.2</v>
      </c>
      <c r="FB73" s="167">
        <v>1.2</v>
      </c>
      <c r="FC73" s="167">
        <v>1</v>
      </c>
      <c r="FD73" s="167" t="s">
        <v>400</v>
      </c>
      <c r="FE73" s="167">
        <v>1</v>
      </c>
      <c r="FF73" s="167">
        <v>1</v>
      </c>
      <c r="FG73" s="167">
        <v>1</v>
      </c>
      <c r="FH73" s="167" t="s">
        <v>400</v>
      </c>
      <c r="FI73" s="167" t="s">
        <v>400</v>
      </c>
      <c r="FJ73" s="167" t="s">
        <v>400</v>
      </c>
      <c r="FK73" s="167" t="s">
        <v>400</v>
      </c>
      <c r="FL73" s="167" t="s">
        <v>400</v>
      </c>
      <c r="FM73" s="167">
        <v>1</v>
      </c>
      <c r="FN73" s="167" t="s">
        <v>400</v>
      </c>
      <c r="FO73" s="167" t="s">
        <v>400</v>
      </c>
      <c r="FP73" s="167" t="s">
        <v>400</v>
      </c>
      <c r="FQ73" s="167" t="s">
        <v>400</v>
      </c>
      <c r="FR73" s="167">
        <v>6</v>
      </c>
      <c r="FS73" s="167" t="s">
        <v>400</v>
      </c>
      <c r="FT73" s="167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</row>
    <row r="74" spans="1:202" ht="27" customHeight="1">
      <c r="A74" s="92"/>
      <c r="B74" s="93"/>
      <c r="C74" s="94"/>
      <c r="D74" s="94"/>
      <c r="E74" s="94"/>
      <c r="F74" s="95"/>
      <c r="G74" s="96"/>
      <c r="H74" s="96"/>
      <c r="I74" s="59"/>
      <c r="J74" s="59"/>
      <c r="K74" s="95"/>
      <c r="L74" s="95"/>
      <c r="M74" s="59"/>
      <c r="N74" s="59"/>
      <c r="O74" s="95"/>
      <c r="P74" s="59"/>
      <c r="Q74" s="59"/>
      <c r="R74" s="59"/>
      <c r="S74" s="97"/>
      <c r="T74" s="59"/>
      <c r="U74" s="98"/>
      <c r="V74" s="99"/>
      <c r="W74" s="98"/>
      <c r="X74" s="99"/>
      <c r="Y74" s="98"/>
      <c r="Z74" s="99"/>
      <c r="AA74" s="59"/>
      <c r="AB74" s="59"/>
      <c r="AC74" s="59"/>
      <c r="AD74" s="59"/>
      <c r="AE74" s="100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 t="s">
        <v>283</v>
      </c>
      <c r="DW74" s="59" t="s">
        <v>284</v>
      </c>
      <c r="DX74" s="59" t="s">
        <v>285</v>
      </c>
      <c r="DY74" s="59" t="s">
        <v>412</v>
      </c>
      <c r="DZ74" s="59" t="s">
        <v>413</v>
      </c>
      <c r="EA74" s="99">
        <v>3.15</v>
      </c>
      <c r="EB74" s="59">
        <v>2538</v>
      </c>
      <c r="EC74" s="59" t="s">
        <v>185</v>
      </c>
      <c r="ED74" s="59">
        <v>0.732</v>
      </c>
      <c r="EE74" s="59">
        <v>1.934</v>
      </c>
      <c r="EF74" s="59">
        <v>0.378</v>
      </c>
      <c r="EG74" s="196">
        <v>1.8</v>
      </c>
      <c r="EH74" s="59" t="s">
        <v>399</v>
      </c>
      <c r="EI74" s="103">
        <v>1</v>
      </c>
      <c r="EJ74" s="59">
        <v>0.85</v>
      </c>
      <c r="EK74" s="59">
        <v>0.018</v>
      </c>
      <c r="EL74" s="59">
        <v>0.476</v>
      </c>
      <c r="EM74" s="59">
        <v>0.06</v>
      </c>
      <c r="EN74" s="103">
        <v>1</v>
      </c>
      <c r="EO74" s="103">
        <f t="shared" si="5"/>
        <v>0.15000000000000002</v>
      </c>
      <c r="EP74" s="59">
        <v>0.15</v>
      </c>
      <c r="EQ74" s="59" t="s">
        <v>400</v>
      </c>
      <c r="ER74" s="59" t="s">
        <v>400</v>
      </c>
      <c r="ES74" s="59" t="s">
        <v>405</v>
      </c>
      <c r="ET74" s="103">
        <v>6</v>
      </c>
      <c r="EU74" s="59" t="s">
        <v>400</v>
      </c>
      <c r="EV74" s="103">
        <v>2</v>
      </c>
      <c r="EW74" s="103">
        <v>20</v>
      </c>
      <c r="EX74" s="103">
        <v>15</v>
      </c>
      <c r="EY74" s="59">
        <v>205.315</v>
      </c>
      <c r="EZ74" s="168">
        <v>204.75</v>
      </c>
      <c r="FA74" s="167">
        <v>1.2</v>
      </c>
      <c r="FB74" s="167">
        <v>1.2</v>
      </c>
      <c r="FC74" s="167" t="s">
        <v>400</v>
      </c>
      <c r="FD74" s="167" t="s">
        <v>400</v>
      </c>
      <c r="FE74" s="167" t="s">
        <v>400</v>
      </c>
      <c r="FF74" s="167" t="s">
        <v>400</v>
      </c>
      <c r="FG74" s="167">
        <v>1</v>
      </c>
      <c r="FH74" s="167" t="s">
        <v>400</v>
      </c>
      <c r="FI74" s="171">
        <v>2</v>
      </c>
      <c r="FJ74" s="167">
        <v>1</v>
      </c>
      <c r="FK74" s="167" t="s">
        <v>400</v>
      </c>
      <c r="FL74" s="167" t="s">
        <v>400</v>
      </c>
      <c r="FM74" s="167" t="s">
        <v>400</v>
      </c>
      <c r="FN74" s="167" t="s">
        <v>400</v>
      </c>
      <c r="FO74" s="167" t="s">
        <v>400</v>
      </c>
      <c r="FP74" s="167" t="s">
        <v>400</v>
      </c>
      <c r="FQ74" s="167" t="s">
        <v>400</v>
      </c>
      <c r="FR74" s="167">
        <v>5</v>
      </c>
      <c r="FS74" s="167" t="s">
        <v>400</v>
      </c>
      <c r="FT74" s="167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</row>
    <row r="75" spans="1:202" ht="27" customHeight="1">
      <c r="A75" s="92"/>
      <c r="B75" s="93"/>
      <c r="C75" s="94"/>
      <c r="D75" s="94"/>
      <c r="E75" s="94"/>
      <c r="F75" s="95"/>
      <c r="G75" s="96"/>
      <c r="H75" s="96"/>
      <c r="I75" s="59"/>
      <c r="J75" s="59"/>
      <c r="K75" s="95"/>
      <c r="L75" s="95"/>
      <c r="M75" s="59"/>
      <c r="N75" s="59"/>
      <c r="O75" s="95"/>
      <c r="P75" s="59"/>
      <c r="Q75" s="59"/>
      <c r="R75" s="59"/>
      <c r="S75" s="97"/>
      <c r="T75" s="59"/>
      <c r="U75" s="98"/>
      <c r="V75" s="99"/>
      <c r="W75" s="98"/>
      <c r="X75" s="99"/>
      <c r="Y75" s="98"/>
      <c r="Z75" s="99"/>
      <c r="AA75" s="59"/>
      <c r="AB75" s="59"/>
      <c r="AC75" s="59"/>
      <c r="AD75" s="59"/>
      <c r="AE75" s="100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 t="s">
        <v>283</v>
      </c>
      <c r="DW75" s="59" t="s">
        <v>284</v>
      </c>
      <c r="DX75" s="59" t="s">
        <v>285</v>
      </c>
      <c r="DY75" s="59" t="s">
        <v>413</v>
      </c>
      <c r="DZ75" s="59" t="s">
        <v>414</v>
      </c>
      <c r="EA75" s="99">
        <v>3.53</v>
      </c>
      <c r="EB75" s="59">
        <v>2538</v>
      </c>
      <c r="EC75" s="59" t="s">
        <v>185</v>
      </c>
      <c r="ED75" s="99">
        <v>0.53</v>
      </c>
      <c r="EE75" s="59">
        <v>1.519</v>
      </c>
      <c r="EF75" s="59">
        <v>0.349</v>
      </c>
      <c r="EG75" s="196">
        <v>1.8</v>
      </c>
      <c r="EH75" s="59" t="s">
        <v>399</v>
      </c>
      <c r="EI75" s="103">
        <v>0.9</v>
      </c>
      <c r="EJ75" s="59">
        <v>0.75</v>
      </c>
      <c r="EK75" s="59">
        <v>0.018</v>
      </c>
      <c r="EL75" s="59">
        <v>0.421</v>
      </c>
      <c r="EM75" s="59">
        <v>0.06</v>
      </c>
      <c r="EN75" s="103">
        <v>0.9</v>
      </c>
      <c r="EO75" s="103">
        <f t="shared" si="5"/>
        <v>0.15000000000000002</v>
      </c>
      <c r="EP75" s="59">
        <v>0.15</v>
      </c>
      <c r="EQ75" s="59" t="s">
        <v>400</v>
      </c>
      <c r="ER75" s="59" t="s">
        <v>400</v>
      </c>
      <c r="ES75" s="59" t="s">
        <v>405</v>
      </c>
      <c r="ET75" s="103">
        <v>6</v>
      </c>
      <c r="EU75" s="59" t="s">
        <v>400</v>
      </c>
      <c r="EV75" s="103">
        <v>2</v>
      </c>
      <c r="EW75" s="103">
        <v>20</v>
      </c>
      <c r="EX75" s="103">
        <v>15</v>
      </c>
      <c r="EY75" s="59">
        <v>199.222</v>
      </c>
      <c r="EZ75" s="168">
        <v>197.5</v>
      </c>
      <c r="FA75" s="167">
        <v>1.2</v>
      </c>
      <c r="FB75" s="167">
        <v>1.2</v>
      </c>
      <c r="FC75" s="167" t="s">
        <v>400</v>
      </c>
      <c r="FD75" s="167" t="s">
        <v>400</v>
      </c>
      <c r="FE75" s="167" t="s">
        <v>400</v>
      </c>
      <c r="FF75" s="167">
        <v>2</v>
      </c>
      <c r="FG75" s="167" t="s">
        <v>400</v>
      </c>
      <c r="FH75" s="167" t="s">
        <v>400</v>
      </c>
      <c r="FI75" s="171" t="s">
        <v>400</v>
      </c>
      <c r="FJ75" s="167">
        <v>1</v>
      </c>
      <c r="FK75" s="167">
        <v>4</v>
      </c>
      <c r="FL75" s="167" t="s">
        <v>400</v>
      </c>
      <c r="FM75" s="167" t="s">
        <v>400</v>
      </c>
      <c r="FN75" s="167" t="s">
        <v>400</v>
      </c>
      <c r="FO75" s="167" t="s">
        <v>400</v>
      </c>
      <c r="FP75" s="167" t="s">
        <v>400</v>
      </c>
      <c r="FQ75" s="167" t="s">
        <v>400</v>
      </c>
      <c r="FR75" s="167">
        <v>5</v>
      </c>
      <c r="FS75" s="167" t="s">
        <v>400</v>
      </c>
      <c r="FT75" s="167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</row>
    <row r="76" spans="1:202" ht="27" customHeight="1">
      <c r="A76" s="92"/>
      <c r="B76" s="93"/>
      <c r="C76" s="94"/>
      <c r="D76" s="94"/>
      <c r="E76" s="94"/>
      <c r="F76" s="95"/>
      <c r="G76" s="96"/>
      <c r="H76" s="96"/>
      <c r="I76" s="59"/>
      <c r="J76" s="59"/>
      <c r="K76" s="95"/>
      <c r="L76" s="95"/>
      <c r="M76" s="59"/>
      <c r="N76" s="59"/>
      <c r="O76" s="95"/>
      <c r="P76" s="59"/>
      <c r="Q76" s="59"/>
      <c r="R76" s="59"/>
      <c r="S76" s="97"/>
      <c r="T76" s="59"/>
      <c r="U76" s="98"/>
      <c r="V76" s="99"/>
      <c r="W76" s="98"/>
      <c r="X76" s="99"/>
      <c r="Y76" s="98"/>
      <c r="Z76" s="99"/>
      <c r="AA76" s="59"/>
      <c r="AB76" s="59"/>
      <c r="AC76" s="59"/>
      <c r="AD76" s="59"/>
      <c r="AE76" s="100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 t="s">
        <v>283</v>
      </c>
      <c r="DW76" s="59" t="s">
        <v>284</v>
      </c>
      <c r="DX76" s="59" t="s">
        <v>285</v>
      </c>
      <c r="DY76" s="59" t="s">
        <v>414</v>
      </c>
      <c r="DZ76" s="59" t="s">
        <v>415</v>
      </c>
      <c r="EA76" s="99">
        <v>2.26</v>
      </c>
      <c r="EB76" s="59">
        <v>2538</v>
      </c>
      <c r="EC76" s="59" t="s">
        <v>185</v>
      </c>
      <c r="ED76" s="59">
        <v>0.429</v>
      </c>
      <c r="EE76" s="59">
        <v>1.295</v>
      </c>
      <c r="EF76" s="59">
        <v>0.331</v>
      </c>
      <c r="EG76" s="196">
        <v>1.8</v>
      </c>
      <c r="EH76" s="59" t="s">
        <v>399</v>
      </c>
      <c r="EI76" s="103">
        <v>0.8</v>
      </c>
      <c r="EJ76" s="103">
        <v>0.7</v>
      </c>
      <c r="EK76" s="59">
        <v>0.018</v>
      </c>
      <c r="EL76" s="59">
        <v>0.39</v>
      </c>
      <c r="EM76" s="59">
        <v>0.06</v>
      </c>
      <c r="EN76" s="59">
        <v>0.85</v>
      </c>
      <c r="EO76" s="103">
        <f t="shared" si="5"/>
        <v>0.15000000000000002</v>
      </c>
      <c r="EP76" s="59">
        <v>0.15</v>
      </c>
      <c r="EQ76" s="59" t="s">
        <v>400</v>
      </c>
      <c r="ER76" s="59" t="s">
        <v>400</v>
      </c>
      <c r="ES76" s="59" t="s">
        <v>405</v>
      </c>
      <c r="ET76" s="103">
        <v>6</v>
      </c>
      <c r="EU76" s="59" t="s">
        <v>400</v>
      </c>
      <c r="EV76" s="103">
        <v>2</v>
      </c>
      <c r="EW76" s="103">
        <v>20</v>
      </c>
      <c r="EX76" s="103">
        <v>15</v>
      </c>
      <c r="EY76" s="99">
        <v>197.081</v>
      </c>
      <c r="EZ76" s="168">
        <v>197.2</v>
      </c>
      <c r="FA76" s="167">
        <v>1.2</v>
      </c>
      <c r="FB76" s="167">
        <v>1.2</v>
      </c>
      <c r="FC76" s="167" t="s">
        <v>400</v>
      </c>
      <c r="FD76" s="167" t="s">
        <v>400</v>
      </c>
      <c r="FE76" s="167" t="s">
        <v>400</v>
      </c>
      <c r="FF76" s="167">
        <v>2</v>
      </c>
      <c r="FG76" s="167" t="s">
        <v>400</v>
      </c>
      <c r="FH76" s="167" t="s">
        <v>400</v>
      </c>
      <c r="FI76" s="167" t="s">
        <v>400</v>
      </c>
      <c r="FJ76" s="167" t="s">
        <v>400</v>
      </c>
      <c r="FK76" s="167">
        <v>3</v>
      </c>
      <c r="FL76" s="167" t="s">
        <v>400</v>
      </c>
      <c r="FM76" s="167" t="s">
        <v>400</v>
      </c>
      <c r="FN76" s="167" t="s">
        <v>400</v>
      </c>
      <c r="FO76" s="167" t="s">
        <v>400</v>
      </c>
      <c r="FP76" s="167" t="s">
        <v>400</v>
      </c>
      <c r="FQ76" s="167" t="s">
        <v>400</v>
      </c>
      <c r="FR76" s="167">
        <v>3</v>
      </c>
      <c r="FS76" s="167" t="s">
        <v>400</v>
      </c>
      <c r="FT76" s="167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</row>
    <row r="77" spans="1:202" ht="27" customHeight="1">
      <c r="A77" s="92"/>
      <c r="B77" s="93"/>
      <c r="C77" s="94"/>
      <c r="D77" s="94"/>
      <c r="E77" s="94"/>
      <c r="F77" s="95"/>
      <c r="G77" s="96"/>
      <c r="H77" s="96"/>
      <c r="I77" s="59"/>
      <c r="J77" s="59"/>
      <c r="K77" s="95"/>
      <c r="L77" s="95"/>
      <c r="M77" s="59"/>
      <c r="N77" s="59"/>
      <c r="O77" s="95"/>
      <c r="P77" s="59"/>
      <c r="Q77" s="59"/>
      <c r="R77" s="59"/>
      <c r="S77" s="97"/>
      <c r="T77" s="59"/>
      <c r="U77" s="98"/>
      <c r="V77" s="99"/>
      <c r="W77" s="98"/>
      <c r="X77" s="99"/>
      <c r="Y77" s="98"/>
      <c r="Z77" s="99"/>
      <c r="AA77" s="59"/>
      <c r="AB77" s="59"/>
      <c r="AC77" s="59"/>
      <c r="AD77" s="59"/>
      <c r="AE77" s="100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 t="s">
        <v>283</v>
      </c>
      <c r="DW77" s="59" t="s">
        <v>284</v>
      </c>
      <c r="DX77" s="59" t="s">
        <v>285</v>
      </c>
      <c r="DY77" s="59" t="s">
        <v>415</v>
      </c>
      <c r="DZ77" s="59" t="s">
        <v>416</v>
      </c>
      <c r="EA77" s="59">
        <v>2.682</v>
      </c>
      <c r="EB77" s="59">
        <v>2538</v>
      </c>
      <c r="EC77" s="59" t="s">
        <v>185</v>
      </c>
      <c r="ED77" s="59">
        <v>0.311</v>
      </c>
      <c r="EE77" s="99">
        <v>1.02</v>
      </c>
      <c r="EF77" s="59">
        <v>0.305</v>
      </c>
      <c r="EG77" s="196">
        <v>1.8</v>
      </c>
      <c r="EH77" s="59" t="s">
        <v>399</v>
      </c>
      <c r="EI77" s="103">
        <v>0.8</v>
      </c>
      <c r="EJ77" s="103">
        <v>0.6</v>
      </c>
      <c r="EK77" s="59">
        <v>0.018</v>
      </c>
      <c r="EL77" s="59">
        <v>0.344</v>
      </c>
      <c r="EM77" s="59">
        <v>0.06</v>
      </c>
      <c r="EN77" s="59">
        <v>0.75</v>
      </c>
      <c r="EO77" s="103">
        <f t="shared" si="5"/>
        <v>0.15000000000000002</v>
      </c>
      <c r="EP77" s="59">
        <v>0.15</v>
      </c>
      <c r="EQ77" s="59" t="s">
        <v>400</v>
      </c>
      <c r="ER77" s="59" t="s">
        <v>400</v>
      </c>
      <c r="ES77" s="59" t="s">
        <v>405</v>
      </c>
      <c r="ET77" s="103">
        <v>6</v>
      </c>
      <c r="EU77" s="59" t="s">
        <v>400</v>
      </c>
      <c r="EV77" s="103">
        <v>2</v>
      </c>
      <c r="EW77" s="103">
        <v>20</v>
      </c>
      <c r="EX77" s="103">
        <v>15</v>
      </c>
      <c r="EY77" s="59">
        <v>196.149</v>
      </c>
      <c r="EZ77" s="168">
        <v>197.8</v>
      </c>
      <c r="FA77" s="167">
        <v>1.2</v>
      </c>
      <c r="FB77" s="167">
        <v>1.2</v>
      </c>
      <c r="FC77" s="167" t="s">
        <v>400</v>
      </c>
      <c r="FD77" s="167" t="s">
        <v>400</v>
      </c>
      <c r="FE77" s="167" t="s">
        <v>400</v>
      </c>
      <c r="FF77" s="167">
        <v>2</v>
      </c>
      <c r="FG77" s="167" t="s">
        <v>400</v>
      </c>
      <c r="FH77" s="167" t="s">
        <v>400</v>
      </c>
      <c r="FI77" s="167" t="s">
        <v>400</v>
      </c>
      <c r="FJ77" s="167" t="s">
        <v>400</v>
      </c>
      <c r="FK77" s="167">
        <v>1</v>
      </c>
      <c r="FL77" s="167" t="s">
        <v>400</v>
      </c>
      <c r="FM77" s="167" t="s">
        <v>400</v>
      </c>
      <c r="FN77" s="167" t="s">
        <v>400</v>
      </c>
      <c r="FO77" s="167" t="s">
        <v>400</v>
      </c>
      <c r="FP77" s="167" t="s">
        <v>400</v>
      </c>
      <c r="FQ77" s="167" t="s">
        <v>400</v>
      </c>
      <c r="FR77" s="167">
        <v>6</v>
      </c>
      <c r="FS77" s="167" t="s">
        <v>400</v>
      </c>
      <c r="FT77" s="167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</row>
    <row r="78" spans="1:202" ht="27" customHeight="1">
      <c r="A78" s="92"/>
      <c r="B78" s="93"/>
      <c r="C78" s="94"/>
      <c r="D78" s="94"/>
      <c r="E78" s="94"/>
      <c r="F78" s="95"/>
      <c r="G78" s="96"/>
      <c r="H78" s="96"/>
      <c r="I78" s="59"/>
      <c r="J78" s="59"/>
      <c r="K78" s="95"/>
      <c r="L78" s="95"/>
      <c r="M78" s="59"/>
      <c r="N78" s="59"/>
      <c r="O78" s="95"/>
      <c r="P78" s="59"/>
      <c r="Q78" s="59"/>
      <c r="R78" s="59"/>
      <c r="S78" s="97"/>
      <c r="T78" s="59"/>
      <c r="U78" s="98"/>
      <c r="V78" s="99"/>
      <c r="W78" s="98"/>
      <c r="X78" s="99"/>
      <c r="Y78" s="98"/>
      <c r="Z78" s="99"/>
      <c r="AA78" s="59"/>
      <c r="AB78" s="59"/>
      <c r="AC78" s="59"/>
      <c r="AD78" s="59"/>
      <c r="AE78" s="100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 t="s">
        <v>283</v>
      </c>
      <c r="DW78" s="59" t="s">
        <v>284</v>
      </c>
      <c r="DX78" s="59" t="s">
        <v>285</v>
      </c>
      <c r="DY78" s="59" t="s">
        <v>416</v>
      </c>
      <c r="DZ78" s="59" t="s">
        <v>417</v>
      </c>
      <c r="EA78" s="59">
        <v>1.858</v>
      </c>
      <c r="EB78" s="59">
        <v>2538</v>
      </c>
      <c r="EC78" s="59" t="s">
        <v>185</v>
      </c>
      <c r="ED78" s="59">
        <v>0.163</v>
      </c>
      <c r="EE78" s="59">
        <v>0.625</v>
      </c>
      <c r="EF78" s="99">
        <v>0.26</v>
      </c>
      <c r="EG78" s="196">
        <v>1.8</v>
      </c>
      <c r="EH78" s="59" t="s">
        <v>399</v>
      </c>
      <c r="EI78" s="103">
        <v>0.5</v>
      </c>
      <c r="EJ78" s="103">
        <v>0.5</v>
      </c>
      <c r="EK78" s="59">
        <v>0.018</v>
      </c>
      <c r="EL78" s="59">
        <v>0.271</v>
      </c>
      <c r="EM78" s="59">
        <v>0.06</v>
      </c>
      <c r="EN78" s="59">
        <v>0.65</v>
      </c>
      <c r="EO78" s="103">
        <f t="shared" si="5"/>
        <v>0.15000000000000002</v>
      </c>
      <c r="EP78" s="59">
        <v>0.15</v>
      </c>
      <c r="EQ78" s="59" t="s">
        <v>400</v>
      </c>
      <c r="ER78" s="59" t="s">
        <v>400</v>
      </c>
      <c r="ES78" s="59" t="s">
        <v>405</v>
      </c>
      <c r="ET78" s="103">
        <v>6</v>
      </c>
      <c r="EU78" s="59" t="s">
        <v>400</v>
      </c>
      <c r="EV78" s="103">
        <v>2</v>
      </c>
      <c r="EW78" s="103">
        <v>20</v>
      </c>
      <c r="EX78" s="103">
        <v>15</v>
      </c>
      <c r="EY78" s="59">
        <v>195.413</v>
      </c>
      <c r="EZ78" s="168">
        <v>198.55</v>
      </c>
      <c r="FA78" s="167">
        <v>1.2</v>
      </c>
      <c r="FB78" s="167">
        <v>1.2</v>
      </c>
      <c r="FC78" s="167" t="s">
        <v>400</v>
      </c>
      <c r="FD78" s="167" t="s">
        <v>400</v>
      </c>
      <c r="FE78" s="167" t="s">
        <v>400</v>
      </c>
      <c r="FF78" s="167" t="s">
        <v>400</v>
      </c>
      <c r="FG78" s="167" t="s">
        <v>400</v>
      </c>
      <c r="FH78" s="167" t="s">
        <v>400</v>
      </c>
      <c r="FI78" s="167" t="s">
        <v>400</v>
      </c>
      <c r="FJ78" s="167" t="s">
        <v>400</v>
      </c>
      <c r="FK78" s="167">
        <v>2</v>
      </c>
      <c r="FL78" s="167" t="s">
        <v>400</v>
      </c>
      <c r="FM78" s="167" t="s">
        <v>400</v>
      </c>
      <c r="FN78" s="167" t="s">
        <v>400</v>
      </c>
      <c r="FO78" s="167" t="s">
        <v>400</v>
      </c>
      <c r="FP78" s="167" t="s">
        <v>400</v>
      </c>
      <c r="FQ78" s="167" t="s">
        <v>400</v>
      </c>
      <c r="FR78" s="167">
        <v>4</v>
      </c>
      <c r="FS78" s="167" t="s">
        <v>400</v>
      </c>
      <c r="FT78" s="167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</row>
    <row r="79" spans="1:202" ht="27" customHeight="1">
      <c r="A79" s="92"/>
      <c r="B79" s="93"/>
      <c r="C79" s="94"/>
      <c r="D79" s="94"/>
      <c r="E79" s="94"/>
      <c r="F79" s="95"/>
      <c r="G79" s="96"/>
      <c r="H79" s="96"/>
      <c r="I79" s="59"/>
      <c r="J79" s="59"/>
      <c r="K79" s="95"/>
      <c r="L79" s="95"/>
      <c r="M79" s="59"/>
      <c r="N79" s="59"/>
      <c r="O79" s="95"/>
      <c r="P79" s="59"/>
      <c r="Q79" s="59"/>
      <c r="R79" s="59"/>
      <c r="S79" s="97"/>
      <c r="T79" s="59"/>
      <c r="U79" s="98"/>
      <c r="V79" s="99"/>
      <c r="W79" s="98"/>
      <c r="X79" s="99"/>
      <c r="Y79" s="98"/>
      <c r="Z79" s="99"/>
      <c r="AA79" s="59"/>
      <c r="AB79" s="59"/>
      <c r="AC79" s="59"/>
      <c r="AD79" s="59"/>
      <c r="AE79" s="100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 t="s">
        <v>283</v>
      </c>
      <c r="DW79" s="59" t="s">
        <v>17</v>
      </c>
      <c r="DX79" s="59" t="s">
        <v>285</v>
      </c>
      <c r="DY79" s="59" t="s">
        <v>417</v>
      </c>
      <c r="DZ79" s="59" t="s">
        <v>418</v>
      </c>
      <c r="EA79" s="59">
        <v>120</v>
      </c>
      <c r="EB79" s="59">
        <v>2538</v>
      </c>
      <c r="EC79" s="59" t="s">
        <v>185</v>
      </c>
      <c r="ED79" s="59">
        <v>0.135</v>
      </c>
      <c r="EE79" s="59">
        <v>0.625</v>
      </c>
      <c r="EF79" s="59">
        <v>0.216</v>
      </c>
      <c r="EG79" s="196">
        <v>1.6</v>
      </c>
      <c r="EH79" s="59" t="s">
        <v>399</v>
      </c>
      <c r="EI79" s="103">
        <v>0.5</v>
      </c>
      <c r="EJ79" s="103">
        <v>0.5</v>
      </c>
      <c r="EK79" s="59">
        <v>0.025</v>
      </c>
      <c r="EL79" s="59">
        <v>0.271</v>
      </c>
      <c r="EM79" s="59" t="s">
        <v>400</v>
      </c>
      <c r="EN79" s="59" t="s">
        <v>400</v>
      </c>
      <c r="EO79" s="103">
        <v>0</v>
      </c>
      <c r="EP79" s="59">
        <v>0.15</v>
      </c>
      <c r="EQ79" s="59" t="s">
        <v>400</v>
      </c>
      <c r="ER79" s="59" t="s">
        <v>400</v>
      </c>
      <c r="ES79" s="59" t="s">
        <v>405</v>
      </c>
      <c r="ET79" s="103">
        <v>6</v>
      </c>
      <c r="EU79" s="59" t="s">
        <v>400</v>
      </c>
      <c r="EV79" s="103">
        <v>2</v>
      </c>
      <c r="EW79" s="103">
        <v>10</v>
      </c>
      <c r="EX79" s="103">
        <v>10</v>
      </c>
      <c r="EY79" s="59">
        <v>195.181</v>
      </c>
      <c r="EZ79" s="168">
        <v>193.95</v>
      </c>
      <c r="FA79" s="167">
        <v>1.2</v>
      </c>
      <c r="FB79" s="167">
        <v>1.2</v>
      </c>
      <c r="FC79" s="167" t="s">
        <v>400</v>
      </c>
      <c r="FD79" s="167" t="s">
        <v>400</v>
      </c>
      <c r="FE79" s="167" t="s">
        <v>400</v>
      </c>
      <c r="FF79" s="167" t="s">
        <v>400</v>
      </c>
      <c r="FG79" s="167" t="s">
        <v>400</v>
      </c>
      <c r="FH79" s="167" t="s">
        <v>400</v>
      </c>
      <c r="FI79" s="167" t="s">
        <v>400</v>
      </c>
      <c r="FJ79" s="167" t="s">
        <v>400</v>
      </c>
      <c r="FK79" s="167" t="s">
        <v>400</v>
      </c>
      <c r="FL79" s="167" t="s">
        <v>400</v>
      </c>
      <c r="FM79" s="167" t="s">
        <v>400</v>
      </c>
      <c r="FN79" s="167" t="s">
        <v>400</v>
      </c>
      <c r="FO79" s="167" t="s">
        <v>400</v>
      </c>
      <c r="FP79" s="167" t="s">
        <v>400</v>
      </c>
      <c r="FQ79" s="167" t="s">
        <v>400</v>
      </c>
      <c r="FR79" s="167" t="s">
        <v>400</v>
      </c>
      <c r="FS79" s="167">
        <v>1</v>
      </c>
      <c r="FT79" s="167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</row>
    <row r="80" spans="1:202" ht="27" customHeight="1">
      <c r="A80" s="92"/>
      <c r="B80" s="93"/>
      <c r="C80" s="94"/>
      <c r="D80" s="94"/>
      <c r="E80" s="94"/>
      <c r="F80" s="95"/>
      <c r="G80" s="96"/>
      <c r="H80" s="96"/>
      <c r="I80" s="59"/>
      <c r="J80" s="59"/>
      <c r="K80" s="95"/>
      <c r="L80" s="95"/>
      <c r="M80" s="59"/>
      <c r="N80" s="59"/>
      <c r="O80" s="95"/>
      <c r="P80" s="59"/>
      <c r="Q80" s="59"/>
      <c r="R80" s="59"/>
      <c r="S80" s="97"/>
      <c r="T80" s="59"/>
      <c r="U80" s="98"/>
      <c r="V80" s="99"/>
      <c r="W80" s="98"/>
      <c r="X80" s="99"/>
      <c r="Y80" s="98"/>
      <c r="Z80" s="99"/>
      <c r="AA80" s="59"/>
      <c r="AB80" s="59"/>
      <c r="AC80" s="59"/>
      <c r="AD80" s="59"/>
      <c r="AE80" s="100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 t="s">
        <v>327</v>
      </c>
      <c r="DW80" s="59" t="s">
        <v>284</v>
      </c>
      <c r="DX80" s="59" t="s">
        <v>285</v>
      </c>
      <c r="DY80" s="59" t="s">
        <v>286</v>
      </c>
      <c r="DZ80" s="59" t="s">
        <v>419</v>
      </c>
      <c r="EA80" s="99">
        <v>0.74</v>
      </c>
      <c r="EB80" s="59">
        <v>2538</v>
      </c>
      <c r="EC80" s="59" t="s">
        <v>185</v>
      </c>
      <c r="ED80" s="59">
        <v>0.227</v>
      </c>
      <c r="EE80" s="59">
        <v>0.675</v>
      </c>
      <c r="EF80" s="59">
        <v>0.337</v>
      </c>
      <c r="EG80" s="196">
        <v>1.5</v>
      </c>
      <c r="EH80" s="102" t="s">
        <v>399</v>
      </c>
      <c r="EI80" s="103">
        <v>0.6</v>
      </c>
      <c r="EJ80" s="103">
        <v>0.5</v>
      </c>
      <c r="EK80" s="59">
        <v>0.018</v>
      </c>
      <c r="EL80" s="59">
        <v>0.281</v>
      </c>
      <c r="EM80" s="59">
        <v>0.06</v>
      </c>
      <c r="EN80" s="59">
        <v>0.65</v>
      </c>
      <c r="EO80" s="103">
        <f t="shared" si="5"/>
        <v>0.15000000000000002</v>
      </c>
      <c r="EP80" s="59">
        <v>0.15</v>
      </c>
      <c r="EQ80" s="59" t="s">
        <v>400</v>
      </c>
      <c r="ER80" s="59" t="s">
        <v>400</v>
      </c>
      <c r="ES80" s="59" t="s">
        <v>405</v>
      </c>
      <c r="ET80" s="103">
        <v>2</v>
      </c>
      <c r="EU80" s="59" t="s">
        <v>400</v>
      </c>
      <c r="EV80" s="103">
        <v>5</v>
      </c>
      <c r="EW80" s="103">
        <v>15</v>
      </c>
      <c r="EX80" s="103">
        <v>15</v>
      </c>
      <c r="EY80" s="59">
        <v>228.024</v>
      </c>
      <c r="EZ80" s="168">
        <v>229.35</v>
      </c>
      <c r="FA80" s="167">
        <v>1.2</v>
      </c>
      <c r="FB80" s="167">
        <v>1.2</v>
      </c>
      <c r="FC80" s="167" t="s">
        <v>400</v>
      </c>
      <c r="FD80" s="167" t="s">
        <v>400</v>
      </c>
      <c r="FE80" s="167" t="s">
        <v>400</v>
      </c>
      <c r="FF80" s="167" t="s">
        <v>400</v>
      </c>
      <c r="FG80" s="167" t="s">
        <v>400</v>
      </c>
      <c r="FH80" s="167" t="s">
        <v>400</v>
      </c>
      <c r="FI80" s="171">
        <v>1</v>
      </c>
      <c r="FJ80" s="167" t="s">
        <v>400</v>
      </c>
      <c r="FK80" s="167" t="s">
        <v>400</v>
      </c>
      <c r="FL80" s="167" t="s">
        <v>400</v>
      </c>
      <c r="FM80" s="167" t="s">
        <v>400</v>
      </c>
      <c r="FN80" s="167" t="s">
        <v>400</v>
      </c>
      <c r="FO80" s="167" t="s">
        <v>400</v>
      </c>
      <c r="FP80" s="167" t="s">
        <v>400</v>
      </c>
      <c r="FQ80" s="167" t="s">
        <v>400</v>
      </c>
      <c r="FR80" s="167">
        <v>3</v>
      </c>
      <c r="FS80" s="167" t="s">
        <v>400</v>
      </c>
      <c r="FT80" s="167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</row>
    <row r="81" spans="1:202" ht="27" customHeight="1">
      <c r="A81" s="92"/>
      <c r="B81" s="93"/>
      <c r="C81" s="94"/>
      <c r="D81" s="94"/>
      <c r="E81" s="94"/>
      <c r="F81" s="95"/>
      <c r="G81" s="96"/>
      <c r="H81" s="96"/>
      <c r="I81" s="59"/>
      <c r="J81" s="59"/>
      <c r="K81" s="95"/>
      <c r="L81" s="95"/>
      <c r="M81" s="59"/>
      <c r="N81" s="59"/>
      <c r="O81" s="95"/>
      <c r="P81" s="59"/>
      <c r="Q81" s="59"/>
      <c r="R81" s="59"/>
      <c r="S81" s="97"/>
      <c r="T81" s="59"/>
      <c r="U81" s="98"/>
      <c r="V81" s="99"/>
      <c r="W81" s="98"/>
      <c r="X81" s="99"/>
      <c r="Y81" s="98"/>
      <c r="Z81" s="99"/>
      <c r="AA81" s="59"/>
      <c r="AB81" s="59"/>
      <c r="AC81" s="59"/>
      <c r="AD81" s="59"/>
      <c r="AE81" s="100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 t="s">
        <v>327</v>
      </c>
      <c r="DW81" s="59" t="s">
        <v>17</v>
      </c>
      <c r="DX81" s="59" t="s">
        <v>285</v>
      </c>
      <c r="DY81" s="59" t="s">
        <v>419</v>
      </c>
      <c r="DZ81" s="59" t="s">
        <v>420</v>
      </c>
      <c r="EA81" s="59">
        <v>100</v>
      </c>
      <c r="EB81" s="59">
        <v>2538</v>
      </c>
      <c r="EC81" s="59" t="s">
        <v>185</v>
      </c>
      <c r="ED81" s="59">
        <v>0.155</v>
      </c>
      <c r="EE81" s="99">
        <v>0.56</v>
      </c>
      <c r="EF81" s="59">
        <v>0.277</v>
      </c>
      <c r="EG81" s="196">
        <v>1.3</v>
      </c>
      <c r="EH81" s="59" t="s">
        <v>399</v>
      </c>
      <c r="EI81" s="103">
        <v>0.6</v>
      </c>
      <c r="EJ81" s="103">
        <v>0.4</v>
      </c>
      <c r="EK81" s="59">
        <v>0.025</v>
      </c>
      <c r="EL81" s="59">
        <v>0.234</v>
      </c>
      <c r="EM81" s="59" t="s">
        <v>400</v>
      </c>
      <c r="EN81" s="59" t="s">
        <v>400</v>
      </c>
      <c r="EO81" s="103">
        <v>0</v>
      </c>
      <c r="EP81" s="59">
        <v>0.15</v>
      </c>
      <c r="EQ81" s="59" t="s">
        <v>400</v>
      </c>
      <c r="ER81" s="59" t="s">
        <v>400</v>
      </c>
      <c r="ES81" s="59" t="s">
        <v>405</v>
      </c>
      <c r="ET81" s="103" t="s">
        <v>400</v>
      </c>
      <c r="EU81" s="59" t="s">
        <v>400</v>
      </c>
      <c r="EV81" s="103" t="s">
        <v>400</v>
      </c>
      <c r="EW81" s="103">
        <v>10</v>
      </c>
      <c r="EX81" s="103">
        <v>10</v>
      </c>
      <c r="EY81" s="59">
        <v>224.376</v>
      </c>
      <c r="EZ81" s="167" t="s">
        <v>421</v>
      </c>
      <c r="FA81" s="167">
        <v>1.2</v>
      </c>
      <c r="FB81" s="167">
        <v>1.2</v>
      </c>
      <c r="FC81" s="167" t="s">
        <v>400</v>
      </c>
      <c r="FD81" s="167" t="s">
        <v>400</v>
      </c>
      <c r="FE81" s="167" t="s">
        <v>400</v>
      </c>
      <c r="FF81" s="167" t="s">
        <v>400</v>
      </c>
      <c r="FG81" s="167" t="s">
        <v>400</v>
      </c>
      <c r="FH81" s="167" t="s">
        <v>400</v>
      </c>
      <c r="FI81" s="167" t="s">
        <v>400</v>
      </c>
      <c r="FJ81" s="167" t="s">
        <v>400</v>
      </c>
      <c r="FK81" s="167" t="s">
        <v>400</v>
      </c>
      <c r="FL81" s="167" t="s">
        <v>400</v>
      </c>
      <c r="FM81" s="167" t="s">
        <v>400</v>
      </c>
      <c r="FN81" s="167">
        <v>1</v>
      </c>
      <c r="FO81" s="167" t="s">
        <v>400</v>
      </c>
      <c r="FP81" s="167" t="s">
        <v>400</v>
      </c>
      <c r="FQ81" s="167" t="s">
        <v>400</v>
      </c>
      <c r="FR81" s="167" t="s">
        <v>400</v>
      </c>
      <c r="FS81" s="167" t="s">
        <v>400</v>
      </c>
      <c r="FT81" s="167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</row>
    <row r="82" spans="1:202" ht="27" customHeight="1">
      <c r="A82" s="92"/>
      <c r="B82" s="93"/>
      <c r="C82" s="94"/>
      <c r="D82" s="94"/>
      <c r="E82" s="94"/>
      <c r="F82" s="95"/>
      <c r="G82" s="96"/>
      <c r="H82" s="96"/>
      <c r="I82" s="59"/>
      <c r="J82" s="59"/>
      <c r="K82" s="95"/>
      <c r="L82" s="95"/>
      <c r="M82" s="59"/>
      <c r="N82" s="59"/>
      <c r="O82" s="95"/>
      <c r="P82" s="59"/>
      <c r="Q82" s="59"/>
      <c r="R82" s="59"/>
      <c r="S82" s="97"/>
      <c r="T82" s="59"/>
      <c r="U82" s="98"/>
      <c r="V82" s="99"/>
      <c r="W82" s="98"/>
      <c r="X82" s="99"/>
      <c r="Y82" s="98"/>
      <c r="Z82" s="99"/>
      <c r="AA82" s="59"/>
      <c r="AB82" s="59"/>
      <c r="AC82" s="59"/>
      <c r="AD82" s="59"/>
      <c r="AE82" s="100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 t="s">
        <v>329</v>
      </c>
      <c r="DW82" s="59" t="s">
        <v>284</v>
      </c>
      <c r="DX82" s="59" t="s">
        <v>285</v>
      </c>
      <c r="DY82" s="59" t="s">
        <v>286</v>
      </c>
      <c r="DZ82" s="59" t="s">
        <v>319</v>
      </c>
      <c r="EA82" s="99">
        <v>1.85</v>
      </c>
      <c r="EB82" s="59">
        <v>2538</v>
      </c>
      <c r="EC82" s="59" t="s">
        <v>185</v>
      </c>
      <c r="ED82" s="59">
        <v>0.714</v>
      </c>
      <c r="EE82" s="59">
        <v>1.594</v>
      </c>
      <c r="EF82" s="59">
        <v>0.448</v>
      </c>
      <c r="EG82" s="196">
        <v>1.5</v>
      </c>
      <c r="EH82" s="59" t="s">
        <v>399</v>
      </c>
      <c r="EI82" s="103">
        <v>1</v>
      </c>
      <c r="EJ82" s="59">
        <v>0.75</v>
      </c>
      <c r="EK82" s="59">
        <v>0.018</v>
      </c>
      <c r="EL82" s="99">
        <v>0.43</v>
      </c>
      <c r="EM82" s="59">
        <v>0.06</v>
      </c>
      <c r="EN82" s="103">
        <v>0.9</v>
      </c>
      <c r="EO82" s="103">
        <f t="shared" si="5"/>
        <v>0.15000000000000002</v>
      </c>
      <c r="EP82" s="59">
        <v>0.15</v>
      </c>
      <c r="EQ82" s="59" t="s">
        <v>400</v>
      </c>
      <c r="ER82" s="59" t="s">
        <v>400</v>
      </c>
      <c r="ES82" s="59" t="s">
        <v>405</v>
      </c>
      <c r="ET82" s="103">
        <v>5</v>
      </c>
      <c r="EU82" s="59" t="s">
        <v>400</v>
      </c>
      <c r="EV82" s="103">
        <v>5</v>
      </c>
      <c r="EW82" s="103">
        <v>15</v>
      </c>
      <c r="EX82" s="103">
        <v>15</v>
      </c>
      <c r="EY82" s="59">
        <v>228.574</v>
      </c>
      <c r="EZ82" s="168">
        <v>228.7</v>
      </c>
      <c r="FA82" s="167">
        <v>1.2</v>
      </c>
      <c r="FB82" s="167">
        <v>1.2</v>
      </c>
      <c r="FC82" s="167" t="s">
        <v>400</v>
      </c>
      <c r="FD82" s="167" t="s">
        <v>400</v>
      </c>
      <c r="FE82" s="167" t="s">
        <v>400</v>
      </c>
      <c r="FF82" s="167" t="s">
        <v>400</v>
      </c>
      <c r="FG82" s="167">
        <v>1</v>
      </c>
      <c r="FH82" s="167" t="s">
        <v>400</v>
      </c>
      <c r="FI82" s="167" t="s">
        <v>400</v>
      </c>
      <c r="FJ82" s="167" t="s">
        <v>400</v>
      </c>
      <c r="FK82" s="167" t="s">
        <v>400</v>
      </c>
      <c r="FL82" s="167" t="s">
        <v>400</v>
      </c>
      <c r="FM82" s="167" t="s">
        <v>400</v>
      </c>
      <c r="FN82" s="167" t="s">
        <v>400</v>
      </c>
      <c r="FO82" s="167" t="s">
        <v>400</v>
      </c>
      <c r="FP82" s="167" t="s">
        <v>400</v>
      </c>
      <c r="FQ82" s="167" t="s">
        <v>400</v>
      </c>
      <c r="FR82" s="167">
        <v>8</v>
      </c>
      <c r="FS82" s="167" t="s">
        <v>400</v>
      </c>
      <c r="FT82" s="167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  <c r="GJ82" s="59"/>
      <c r="GK82" s="59"/>
      <c r="GL82" s="59"/>
      <c r="GM82" s="59"/>
      <c r="GN82" s="59"/>
      <c r="GO82" s="59"/>
      <c r="GP82" s="59"/>
      <c r="GQ82" s="59"/>
      <c r="GR82" s="59"/>
      <c r="GS82" s="59"/>
      <c r="GT82" s="59"/>
    </row>
    <row r="83" spans="1:202" ht="27" customHeight="1">
      <c r="A83" s="92"/>
      <c r="B83" s="93"/>
      <c r="C83" s="94"/>
      <c r="D83" s="94"/>
      <c r="E83" s="94"/>
      <c r="F83" s="95"/>
      <c r="G83" s="96"/>
      <c r="H83" s="96"/>
      <c r="I83" s="59"/>
      <c r="J83" s="59"/>
      <c r="K83" s="95"/>
      <c r="L83" s="95"/>
      <c r="M83" s="59"/>
      <c r="N83" s="59"/>
      <c r="O83" s="95"/>
      <c r="P83" s="59"/>
      <c r="Q83" s="59"/>
      <c r="R83" s="59"/>
      <c r="S83" s="97"/>
      <c r="T83" s="59"/>
      <c r="U83" s="98"/>
      <c r="V83" s="99"/>
      <c r="W83" s="98"/>
      <c r="X83" s="99"/>
      <c r="Y83" s="98"/>
      <c r="Z83" s="99"/>
      <c r="AA83" s="59"/>
      <c r="AB83" s="59"/>
      <c r="AC83" s="59"/>
      <c r="AD83" s="59"/>
      <c r="AE83" s="100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 t="s">
        <v>329</v>
      </c>
      <c r="DW83" s="59" t="s">
        <v>284</v>
      </c>
      <c r="DX83" s="59" t="s">
        <v>285</v>
      </c>
      <c r="DY83" s="59" t="s">
        <v>319</v>
      </c>
      <c r="DZ83" s="59" t="s">
        <v>422</v>
      </c>
      <c r="EA83" s="99">
        <v>3.3</v>
      </c>
      <c r="EB83" s="59">
        <v>2538</v>
      </c>
      <c r="EC83" s="59" t="s">
        <v>185</v>
      </c>
      <c r="ED83" s="59">
        <v>0.183</v>
      </c>
      <c r="EE83" s="59">
        <v>0.574</v>
      </c>
      <c r="EF83" s="59">
        <v>0.318</v>
      </c>
      <c r="EG83" s="196">
        <v>1.5</v>
      </c>
      <c r="EH83" s="59" t="s">
        <v>399</v>
      </c>
      <c r="EI83" s="103">
        <v>0.6</v>
      </c>
      <c r="EJ83" s="59">
        <v>0.45</v>
      </c>
      <c r="EK83" s="59">
        <v>0.018</v>
      </c>
      <c r="EL83" s="59">
        <v>0.258</v>
      </c>
      <c r="EM83" s="59">
        <v>0.06</v>
      </c>
      <c r="EN83" s="103">
        <v>0.6</v>
      </c>
      <c r="EO83" s="103">
        <f t="shared" si="5"/>
        <v>0.14999999999999997</v>
      </c>
      <c r="EP83" s="59">
        <v>0.15</v>
      </c>
      <c r="EQ83" s="59" t="s">
        <v>400</v>
      </c>
      <c r="ER83" s="59" t="s">
        <v>400</v>
      </c>
      <c r="ES83" s="59" t="s">
        <v>405</v>
      </c>
      <c r="ET83" s="103">
        <v>5</v>
      </c>
      <c r="EU83" s="59" t="s">
        <v>400</v>
      </c>
      <c r="EV83" s="103">
        <v>2</v>
      </c>
      <c r="EW83" s="103">
        <v>15</v>
      </c>
      <c r="EX83" s="103">
        <v>15</v>
      </c>
      <c r="EY83" s="59">
        <v>221.252</v>
      </c>
      <c r="EZ83" s="168">
        <v>219.4</v>
      </c>
      <c r="FA83" s="167">
        <v>1.2</v>
      </c>
      <c r="FB83" s="167">
        <v>1.2</v>
      </c>
      <c r="FC83" s="167" t="s">
        <v>400</v>
      </c>
      <c r="FD83" s="167" t="s">
        <v>400</v>
      </c>
      <c r="FE83" s="167">
        <v>1</v>
      </c>
      <c r="FF83" s="167">
        <v>2</v>
      </c>
      <c r="FG83" s="167" t="s">
        <v>400</v>
      </c>
      <c r="FH83" s="167" t="s">
        <v>400</v>
      </c>
      <c r="FI83" s="167" t="s">
        <v>400</v>
      </c>
      <c r="FJ83" s="167" t="s">
        <v>400</v>
      </c>
      <c r="FK83" s="167">
        <v>3</v>
      </c>
      <c r="FL83" s="167" t="s">
        <v>400</v>
      </c>
      <c r="FM83" s="167" t="s">
        <v>400</v>
      </c>
      <c r="FN83" s="167" t="s">
        <v>400</v>
      </c>
      <c r="FO83" s="167" t="s">
        <v>400</v>
      </c>
      <c r="FP83" s="167" t="s">
        <v>400</v>
      </c>
      <c r="FQ83" s="167" t="s">
        <v>400</v>
      </c>
      <c r="FR83" s="167">
        <v>2</v>
      </c>
      <c r="FS83" s="167" t="s">
        <v>400</v>
      </c>
      <c r="FT83" s="167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  <c r="GJ83" s="59"/>
      <c r="GK83" s="59"/>
      <c r="GL83" s="59"/>
      <c r="GM83" s="59"/>
      <c r="GN83" s="59"/>
      <c r="GO83" s="59"/>
      <c r="GP83" s="59"/>
      <c r="GQ83" s="59"/>
      <c r="GR83" s="59"/>
      <c r="GS83" s="59"/>
      <c r="GT83" s="59"/>
    </row>
    <row r="84" spans="1:202" ht="27" customHeight="1">
      <c r="A84" s="92"/>
      <c r="B84" s="93"/>
      <c r="C84" s="94"/>
      <c r="D84" s="94"/>
      <c r="E84" s="94"/>
      <c r="F84" s="95"/>
      <c r="G84" s="96"/>
      <c r="H84" s="96"/>
      <c r="I84" s="59"/>
      <c r="J84" s="59"/>
      <c r="K84" s="95"/>
      <c r="L84" s="95"/>
      <c r="M84" s="59"/>
      <c r="N84" s="59"/>
      <c r="O84" s="95"/>
      <c r="P84" s="59"/>
      <c r="Q84" s="59"/>
      <c r="R84" s="59"/>
      <c r="S84" s="97"/>
      <c r="T84" s="59"/>
      <c r="U84" s="98"/>
      <c r="V84" s="99"/>
      <c r="W84" s="98"/>
      <c r="X84" s="99"/>
      <c r="Y84" s="98"/>
      <c r="Z84" s="99"/>
      <c r="AA84" s="59"/>
      <c r="AB84" s="59"/>
      <c r="AC84" s="59"/>
      <c r="AD84" s="59"/>
      <c r="AE84" s="100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 t="s">
        <v>329</v>
      </c>
      <c r="DW84" s="59" t="s">
        <v>17</v>
      </c>
      <c r="DX84" s="59" t="s">
        <v>285</v>
      </c>
      <c r="DY84" s="59" t="s">
        <v>422</v>
      </c>
      <c r="DZ84" s="59" t="s">
        <v>423</v>
      </c>
      <c r="EA84" s="59">
        <v>150</v>
      </c>
      <c r="EB84" s="59">
        <v>2538</v>
      </c>
      <c r="EC84" s="59" t="s">
        <v>185</v>
      </c>
      <c r="ED84" s="59">
        <v>0.155</v>
      </c>
      <c r="EE84" s="99">
        <v>0.56</v>
      </c>
      <c r="EF84" s="59">
        <v>0.277</v>
      </c>
      <c r="EG84" s="196">
        <v>1.3</v>
      </c>
      <c r="EH84" s="59" t="s">
        <v>399</v>
      </c>
      <c r="EI84" s="103">
        <v>0.6</v>
      </c>
      <c r="EJ84" s="103">
        <v>0.4</v>
      </c>
      <c r="EK84" s="59">
        <v>0.025</v>
      </c>
      <c r="EL84" s="59">
        <v>0.234</v>
      </c>
      <c r="EM84" s="59" t="s">
        <v>400</v>
      </c>
      <c r="EN84" s="59" t="s">
        <v>400</v>
      </c>
      <c r="EO84" s="103">
        <v>0</v>
      </c>
      <c r="EP84" s="59">
        <v>0.15</v>
      </c>
      <c r="EQ84" s="59" t="s">
        <v>400</v>
      </c>
      <c r="ER84" s="59" t="s">
        <v>400</v>
      </c>
      <c r="ES84" s="59" t="s">
        <v>405</v>
      </c>
      <c r="ET84" s="103" t="s">
        <v>400</v>
      </c>
      <c r="EU84" s="59" t="s">
        <v>400</v>
      </c>
      <c r="EV84" s="103" t="s">
        <v>400</v>
      </c>
      <c r="EW84" s="103">
        <v>10</v>
      </c>
      <c r="EX84" s="103">
        <v>10</v>
      </c>
      <c r="EY84" s="59">
        <v>218.592</v>
      </c>
      <c r="EZ84" s="168">
        <v>217.35</v>
      </c>
      <c r="FA84" s="167">
        <v>1.2</v>
      </c>
      <c r="FB84" s="167">
        <v>1.2</v>
      </c>
      <c r="FC84" s="167" t="s">
        <v>400</v>
      </c>
      <c r="FD84" s="167" t="s">
        <v>400</v>
      </c>
      <c r="FE84" s="167" t="s">
        <v>400</v>
      </c>
      <c r="FF84" s="167" t="s">
        <v>400</v>
      </c>
      <c r="FG84" s="167" t="s">
        <v>400</v>
      </c>
      <c r="FH84" s="167" t="s">
        <v>400</v>
      </c>
      <c r="FI84" s="167" t="s">
        <v>400</v>
      </c>
      <c r="FJ84" s="167" t="s">
        <v>400</v>
      </c>
      <c r="FK84" s="167" t="s">
        <v>400</v>
      </c>
      <c r="FL84" s="167" t="s">
        <v>400</v>
      </c>
      <c r="FM84" s="167" t="s">
        <v>400</v>
      </c>
      <c r="FN84" s="167">
        <v>1</v>
      </c>
      <c r="FO84" s="167" t="s">
        <v>400</v>
      </c>
      <c r="FP84" s="167" t="s">
        <v>400</v>
      </c>
      <c r="FQ84" s="167" t="s">
        <v>400</v>
      </c>
      <c r="FR84" s="167" t="s">
        <v>400</v>
      </c>
      <c r="FS84" s="167">
        <v>1</v>
      </c>
      <c r="FT84" s="167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</row>
    <row r="85" spans="1:202" ht="27" customHeight="1">
      <c r="A85" s="92"/>
      <c r="B85" s="93"/>
      <c r="C85" s="94"/>
      <c r="D85" s="94"/>
      <c r="E85" s="94"/>
      <c r="F85" s="95"/>
      <c r="G85" s="96"/>
      <c r="H85" s="96"/>
      <c r="I85" s="59"/>
      <c r="J85" s="59"/>
      <c r="K85" s="95"/>
      <c r="L85" s="95"/>
      <c r="M85" s="59"/>
      <c r="N85" s="59"/>
      <c r="O85" s="95"/>
      <c r="P85" s="59"/>
      <c r="Q85" s="59"/>
      <c r="R85" s="59"/>
      <c r="S85" s="97"/>
      <c r="T85" s="59"/>
      <c r="U85" s="98"/>
      <c r="V85" s="99"/>
      <c r="W85" s="98"/>
      <c r="X85" s="99"/>
      <c r="Y85" s="98"/>
      <c r="Z85" s="99"/>
      <c r="AA85" s="59"/>
      <c r="AB85" s="59"/>
      <c r="AC85" s="59"/>
      <c r="AD85" s="59"/>
      <c r="AE85" s="100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 t="s">
        <v>424</v>
      </c>
      <c r="DW85" s="59" t="s">
        <v>284</v>
      </c>
      <c r="DX85" s="59" t="s">
        <v>285</v>
      </c>
      <c r="DY85" s="59" t="s">
        <v>286</v>
      </c>
      <c r="DZ85" s="59" t="s">
        <v>425</v>
      </c>
      <c r="EA85" s="99">
        <v>3.25</v>
      </c>
      <c r="EB85" s="59">
        <v>2538</v>
      </c>
      <c r="EC85" s="59" t="s">
        <v>185</v>
      </c>
      <c r="ED85" s="59">
        <v>4.552</v>
      </c>
      <c r="EE85" s="99">
        <v>6.44</v>
      </c>
      <c r="EF85" s="59">
        <v>0.707</v>
      </c>
      <c r="EG85" s="196">
        <v>1.5</v>
      </c>
      <c r="EH85" s="59" t="s">
        <v>399</v>
      </c>
      <c r="EI85" s="103">
        <v>2.5</v>
      </c>
      <c r="EJ85" s="103">
        <v>1.4</v>
      </c>
      <c r="EK85" s="59">
        <v>0.018</v>
      </c>
      <c r="EL85" s="59">
        <v>0.853</v>
      </c>
      <c r="EM85" s="59">
        <v>0.06</v>
      </c>
      <c r="EN85" s="103">
        <v>1.7</v>
      </c>
      <c r="EO85" s="103">
        <f t="shared" si="5"/>
        <v>0.30000000000000004</v>
      </c>
      <c r="EP85" s="59">
        <v>0.15</v>
      </c>
      <c r="EQ85" s="59" t="s">
        <v>400</v>
      </c>
      <c r="ER85" s="59" t="s">
        <v>400</v>
      </c>
      <c r="ES85" s="59" t="s">
        <v>401</v>
      </c>
      <c r="ET85" s="103">
        <v>5</v>
      </c>
      <c r="EU85" s="59" t="s">
        <v>400</v>
      </c>
      <c r="EV85" s="103">
        <v>5</v>
      </c>
      <c r="EW85" s="103">
        <v>20</v>
      </c>
      <c r="EX85" s="103">
        <v>20</v>
      </c>
      <c r="EY85" s="59">
        <v>226.474</v>
      </c>
      <c r="EZ85" s="168">
        <v>226.37</v>
      </c>
      <c r="FA85" s="167">
        <v>1.2</v>
      </c>
      <c r="FB85" s="167">
        <v>1.2</v>
      </c>
      <c r="FC85" s="167" t="s">
        <v>400</v>
      </c>
      <c r="FD85" s="167" t="s">
        <v>400</v>
      </c>
      <c r="FE85" s="167">
        <v>1</v>
      </c>
      <c r="FF85" s="167" t="s">
        <v>400</v>
      </c>
      <c r="FG85" s="167">
        <v>1</v>
      </c>
      <c r="FH85" s="167" t="s">
        <v>400</v>
      </c>
      <c r="FI85" s="171">
        <v>3</v>
      </c>
      <c r="FJ85" s="167">
        <v>1</v>
      </c>
      <c r="FK85" s="167">
        <v>1</v>
      </c>
      <c r="FL85" s="167" t="s">
        <v>400</v>
      </c>
      <c r="FM85" s="167" t="s">
        <v>400</v>
      </c>
      <c r="FN85" s="167" t="s">
        <v>400</v>
      </c>
      <c r="FO85" s="167" t="s">
        <v>400</v>
      </c>
      <c r="FP85" s="167">
        <v>2</v>
      </c>
      <c r="FQ85" s="167" t="s">
        <v>400</v>
      </c>
      <c r="FR85" s="167">
        <v>9</v>
      </c>
      <c r="FS85" s="167" t="s">
        <v>400</v>
      </c>
      <c r="FT85" s="167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  <c r="GJ85" s="59"/>
      <c r="GK85" s="59"/>
      <c r="GL85" s="59"/>
      <c r="GM85" s="59"/>
      <c r="GN85" s="59"/>
      <c r="GO85" s="59"/>
      <c r="GP85" s="59"/>
      <c r="GQ85" s="59"/>
      <c r="GR85" s="59"/>
      <c r="GS85" s="59"/>
      <c r="GT85" s="59"/>
    </row>
    <row r="86" spans="1:202" ht="27" customHeight="1">
      <c r="A86" s="92"/>
      <c r="B86" s="93"/>
      <c r="C86" s="94"/>
      <c r="D86" s="94"/>
      <c r="E86" s="94"/>
      <c r="F86" s="95"/>
      <c r="G86" s="96"/>
      <c r="H86" s="96"/>
      <c r="I86" s="59"/>
      <c r="J86" s="59"/>
      <c r="K86" s="95"/>
      <c r="L86" s="95"/>
      <c r="M86" s="59"/>
      <c r="N86" s="59"/>
      <c r="O86" s="95"/>
      <c r="P86" s="59"/>
      <c r="Q86" s="59"/>
      <c r="R86" s="59"/>
      <c r="S86" s="97"/>
      <c r="T86" s="59"/>
      <c r="U86" s="98"/>
      <c r="V86" s="99"/>
      <c r="W86" s="98"/>
      <c r="X86" s="99"/>
      <c r="Y86" s="98"/>
      <c r="Z86" s="99"/>
      <c r="AA86" s="59"/>
      <c r="AB86" s="59"/>
      <c r="AC86" s="59"/>
      <c r="AD86" s="59"/>
      <c r="AE86" s="100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 t="s">
        <v>424</v>
      </c>
      <c r="DW86" s="59" t="s">
        <v>284</v>
      </c>
      <c r="DX86" s="59" t="s">
        <v>285</v>
      </c>
      <c r="DY86" s="59" t="s">
        <v>425</v>
      </c>
      <c r="DZ86" s="59" t="s">
        <v>426</v>
      </c>
      <c r="EA86" s="99">
        <v>1.1</v>
      </c>
      <c r="EB86" s="59">
        <v>2538</v>
      </c>
      <c r="EC86" s="59" t="s">
        <v>185</v>
      </c>
      <c r="ED86" s="59">
        <v>3.933</v>
      </c>
      <c r="EE86" s="99">
        <v>5.74</v>
      </c>
      <c r="EF86" s="59">
        <v>0.685</v>
      </c>
      <c r="EG86" s="196">
        <v>1.5</v>
      </c>
      <c r="EH86" s="59" t="s">
        <v>399</v>
      </c>
      <c r="EI86" s="103">
        <v>2</v>
      </c>
      <c r="EJ86" s="103">
        <v>1.4</v>
      </c>
      <c r="EK86" s="59">
        <v>0.018</v>
      </c>
      <c r="EL86" s="59">
        <v>0.814</v>
      </c>
      <c r="EM86" s="59">
        <v>0.06</v>
      </c>
      <c r="EN86" s="59">
        <v>1.65</v>
      </c>
      <c r="EO86" s="103">
        <f t="shared" si="5"/>
        <v>0.25</v>
      </c>
      <c r="EP86" s="59">
        <v>0.15</v>
      </c>
      <c r="EQ86" s="59" t="s">
        <v>400</v>
      </c>
      <c r="ER86" s="59" t="s">
        <v>400</v>
      </c>
      <c r="ES86" s="59" t="s">
        <v>401</v>
      </c>
      <c r="ET86" s="103">
        <v>5</v>
      </c>
      <c r="EU86" s="59" t="s">
        <v>400</v>
      </c>
      <c r="EV86" s="103" t="s">
        <v>400</v>
      </c>
      <c r="EW86" s="103">
        <v>20</v>
      </c>
      <c r="EX86" s="103">
        <v>20</v>
      </c>
      <c r="EY86" s="59">
        <v>213.294</v>
      </c>
      <c r="EZ86" s="168">
        <v>211.8</v>
      </c>
      <c r="FA86" s="167">
        <v>1.2</v>
      </c>
      <c r="FB86" s="167">
        <v>1.2</v>
      </c>
      <c r="FC86" s="167">
        <v>1</v>
      </c>
      <c r="FD86" s="167" t="s">
        <v>400</v>
      </c>
      <c r="FE86" s="167" t="s">
        <v>400</v>
      </c>
      <c r="FF86" s="167" t="s">
        <v>400</v>
      </c>
      <c r="FG86" s="167">
        <v>1</v>
      </c>
      <c r="FH86" s="167" t="s">
        <v>400</v>
      </c>
      <c r="FI86" s="167" t="s">
        <v>400</v>
      </c>
      <c r="FJ86" s="167" t="s">
        <v>400</v>
      </c>
      <c r="FK86" s="167" t="s">
        <v>400</v>
      </c>
      <c r="FL86" s="167" t="s">
        <v>400</v>
      </c>
      <c r="FM86" s="167" t="s">
        <v>400</v>
      </c>
      <c r="FN86" s="167" t="s">
        <v>400</v>
      </c>
      <c r="FO86" s="167" t="s">
        <v>400</v>
      </c>
      <c r="FP86" s="167" t="s">
        <v>400</v>
      </c>
      <c r="FQ86" s="167" t="s">
        <v>400</v>
      </c>
      <c r="FR86" s="167">
        <v>2</v>
      </c>
      <c r="FS86" s="167" t="s">
        <v>400</v>
      </c>
      <c r="FT86" s="167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</row>
    <row r="87" spans="1:202" ht="27" customHeight="1">
      <c r="A87" s="92"/>
      <c r="B87" s="93"/>
      <c r="C87" s="94"/>
      <c r="D87" s="94"/>
      <c r="E87" s="94"/>
      <c r="F87" s="95"/>
      <c r="G87" s="96"/>
      <c r="H87" s="96"/>
      <c r="I87" s="59"/>
      <c r="J87" s="59"/>
      <c r="K87" s="95"/>
      <c r="L87" s="95"/>
      <c r="M87" s="59"/>
      <c r="N87" s="59"/>
      <c r="O87" s="95"/>
      <c r="P87" s="59"/>
      <c r="Q87" s="59"/>
      <c r="R87" s="59"/>
      <c r="S87" s="97"/>
      <c r="T87" s="59"/>
      <c r="U87" s="98"/>
      <c r="V87" s="99"/>
      <c r="W87" s="98"/>
      <c r="X87" s="99"/>
      <c r="Y87" s="98"/>
      <c r="Z87" s="99"/>
      <c r="AA87" s="59"/>
      <c r="AB87" s="59"/>
      <c r="AC87" s="59"/>
      <c r="AD87" s="59"/>
      <c r="AE87" s="100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 t="s">
        <v>424</v>
      </c>
      <c r="DW87" s="59" t="s">
        <v>284</v>
      </c>
      <c r="DX87" s="59" t="s">
        <v>285</v>
      </c>
      <c r="DY87" s="59" t="s">
        <v>426</v>
      </c>
      <c r="DZ87" s="59" t="s">
        <v>427</v>
      </c>
      <c r="EA87" s="99">
        <v>2.15</v>
      </c>
      <c r="EB87" s="59">
        <v>2538</v>
      </c>
      <c r="EC87" s="59" t="s">
        <v>185</v>
      </c>
      <c r="ED87" s="59">
        <v>2.885</v>
      </c>
      <c r="EE87" s="99">
        <v>4.56</v>
      </c>
      <c r="EF87" s="59">
        <v>0.632</v>
      </c>
      <c r="EG87" s="196">
        <v>1.5</v>
      </c>
      <c r="EH87" s="59" t="s">
        <v>399</v>
      </c>
      <c r="EI87" s="103">
        <v>2</v>
      </c>
      <c r="EJ87" s="103">
        <v>1.2</v>
      </c>
      <c r="EK87" s="59">
        <v>0.018</v>
      </c>
      <c r="EL87" s="59">
        <v>0.721</v>
      </c>
      <c r="EM87" s="59">
        <v>0.06</v>
      </c>
      <c r="EN87" s="59">
        <v>1.45</v>
      </c>
      <c r="EO87" s="103">
        <f t="shared" si="5"/>
        <v>0.25</v>
      </c>
      <c r="EP87" s="59">
        <v>0.15</v>
      </c>
      <c r="EQ87" s="59" t="s">
        <v>400</v>
      </c>
      <c r="ER87" s="59" t="s">
        <v>400</v>
      </c>
      <c r="ES87" s="59" t="s">
        <v>403</v>
      </c>
      <c r="ET87" s="103">
        <v>5</v>
      </c>
      <c r="EU87" s="59" t="s">
        <v>400</v>
      </c>
      <c r="EV87" s="103">
        <v>5</v>
      </c>
      <c r="EW87" s="103">
        <v>20</v>
      </c>
      <c r="EX87" s="103">
        <v>20</v>
      </c>
      <c r="EY87" s="59">
        <v>210.474</v>
      </c>
      <c r="EZ87" s="168">
        <v>210.3</v>
      </c>
      <c r="FA87" s="167">
        <v>1.2</v>
      </c>
      <c r="FB87" s="167">
        <v>1.2</v>
      </c>
      <c r="FC87" s="167" t="s">
        <v>400</v>
      </c>
      <c r="FD87" s="167" t="s">
        <v>400</v>
      </c>
      <c r="FE87" s="167" t="s">
        <v>400</v>
      </c>
      <c r="FF87" s="167" t="s">
        <v>400</v>
      </c>
      <c r="FG87" s="167">
        <v>2</v>
      </c>
      <c r="FH87" s="167" t="s">
        <v>400</v>
      </c>
      <c r="FI87" s="167" t="s">
        <v>400</v>
      </c>
      <c r="FJ87" s="167" t="s">
        <v>400</v>
      </c>
      <c r="FK87" s="167">
        <v>1</v>
      </c>
      <c r="FL87" s="167" t="s">
        <v>400</v>
      </c>
      <c r="FM87" s="167" t="s">
        <v>400</v>
      </c>
      <c r="FN87" s="167" t="s">
        <v>400</v>
      </c>
      <c r="FO87" s="167" t="s">
        <v>400</v>
      </c>
      <c r="FP87" s="167" t="s">
        <v>400</v>
      </c>
      <c r="FQ87" s="167" t="s">
        <v>400</v>
      </c>
      <c r="FR87" s="167">
        <v>10</v>
      </c>
      <c r="FS87" s="167" t="s">
        <v>400</v>
      </c>
      <c r="FT87" s="167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  <c r="GJ87" s="59"/>
      <c r="GK87" s="59"/>
      <c r="GL87" s="59"/>
      <c r="GM87" s="59"/>
      <c r="GN87" s="59"/>
      <c r="GO87" s="59"/>
      <c r="GP87" s="59"/>
      <c r="GQ87" s="59"/>
      <c r="GR87" s="59"/>
      <c r="GS87" s="59"/>
      <c r="GT87" s="59"/>
    </row>
    <row r="88" spans="1:202" ht="27" customHeight="1">
      <c r="A88" s="92"/>
      <c r="B88" s="93"/>
      <c r="C88" s="94"/>
      <c r="D88" s="94"/>
      <c r="E88" s="94"/>
      <c r="F88" s="95"/>
      <c r="G88" s="96"/>
      <c r="H88" s="96"/>
      <c r="I88" s="59"/>
      <c r="J88" s="59"/>
      <c r="K88" s="95"/>
      <c r="L88" s="95"/>
      <c r="M88" s="59"/>
      <c r="N88" s="59"/>
      <c r="O88" s="95"/>
      <c r="P88" s="59"/>
      <c r="Q88" s="59"/>
      <c r="R88" s="59"/>
      <c r="S88" s="97"/>
      <c r="T88" s="59"/>
      <c r="U88" s="98"/>
      <c r="V88" s="99"/>
      <c r="W88" s="98"/>
      <c r="X88" s="99"/>
      <c r="Y88" s="98"/>
      <c r="Z88" s="99"/>
      <c r="AA88" s="59"/>
      <c r="AB88" s="59"/>
      <c r="AC88" s="59"/>
      <c r="AD88" s="59"/>
      <c r="AE88" s="100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 t="s">
        <v>424</v>
      </c>
      <c r="DW88" s="59" t="s">
        <v>284</v>
      </c>
      <c r="DX88" s="59" t="s">
        <v>285</v>
      </c>
      <c r="DY88" s="59" t="s">
        <v>427</v>
      </c>
      <c r="DZ88" s="59" t="s">
        <v>428</v>
      </c>
      <c r="EA88" s="99">
        <v>1.95</v>
      </c>
      <c r="EB88" s="59">
        <v>2538</v>
      </c>
      <c r="EC88" s="59" t="s">
        <v>185</v>
      </c>
      <c r="ED88" s="59">
        <v>2.091</v>
      </c>
      <c r="EE88" s="59">
        <v>3.575</v>
      </c>
      <c r="EF88" s="59">
        <v>0.585</v>
      </c>
      <c r="EG88" s="196">
        <v>1.5</v>
      </c>
      <c r="EH88" s="59" t="s">
        <v>399</v>
      </c>
      <c r="EI88" s="103">
        <v>1.6</v>
      </c>
      <c r="EJ88" s="103">
        <v>1.1</v>
      </c>
      <c r="EK88" s="59">
        <v>0.018</v>
      </c>
      <c r="EL88" s="59">
        <v>0.642</v>
      </c>
      <c r="EM88" s="59">
        <v>0.06</v>
      </c>
      <c r="EN88" s="103">
        <v>1.3</v>
      </c>
      <c r="EO88" s="103">
        <f t="shared" si="5"/>
        <v>0.19999999999999996</v>
      </c>
      <c r="EP88" s="59">
        <v>0.15</v>
      </c>
      <c r="EQ88" s="59" t="s">
        <v>400</v>
      </c>
      <c r="ER88" s="59" t="s">
        <v>400</v>
      </c>
      <c r="ES88" s="59" t="s">
        <v>405</v>
      </c>
      <c r="ET88" s="103">
        <v>5</v>
      </c>
      <c r="EU88" s="59"/>
      <c r="EV88" s="103">
        <v>5</v>
      </c>
      <c r="EW88" s="103">
        <v>20</v>
      </c>
      <c r="EX88" s="103">
        <v>20</v>
      </c>
      <c r="EY88" s="59">
        <v>207.244</v>
      </c>
      <c r="EZ88" s="168">
        <v>207.9</v>
      </c>
      <c r="FA88" s="167">
        <v>1.2</v>
      </c>
      <c r="FB88" s="167">
        <v>1.2</v>
      </c>
      <c r="FC88" s="167">
        <v>1</v>
      </c>
      <c r="FD88" s="167" t="s">
        <v>400</v>
      </c>
      <c r="FE88" s="167" t="s">
        <v>400</v>
      </c>
      <c r="FF88" s="167" t="s">
        <v>400</v>
      </c>
      <c r="FG88" s="167">
        <v>2</v>
      </c>
      <c r="FH88" s="167" t="s">
        <v>400</v>
      </c>
      <c r="FI88" s="167" t="s">
        <v>400</v>
      </c>
      <c r="FJ88" s="167" t="s">
        <v>400</v>
      </c>
      <c r="FK88" s="167" t="s">
        <v>400</v>
      </c>
      <c r="FL88" s="167" t="s">
        <v>400</v>
      </c>
      <c r="FM88" s="167" t="s">
        <v>400</v>
      </c>
      <c r="FN88" s="167" t="s">
        <v>400</v>
      </c>
      <c r="FO88" s="167" t="s">
        <v>400</v>
      </c>
      <c r="FP88" s="167">
        <v>1</v>
      </c>
      <c r="FQ88" s="167" t="s">
        <v>400</v>
      </c>
      <c r="FR88" s="167">
        <v>8</v>
      </c>
      <c r="FS88" s="167" t="s">
        <v>400</v>
      </c>
      <c r="FT88" s="167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  <c r="GJ88" s="59"/>
      <c r="GK88" s="59"/>
      <c r="GL88" s="59"/>
      <c r="GM88" s="59"/>
      <c r="GN88" s="59"/>
      <c r="GO88" s="59"/>
      <c r="GP88" s="59"/>
      <c r="GQ88" s="59"/>
      <c r="GR88" s="59"/>
      <c r="GS88" s="59"/>
      <c r="GT88" s="59"/>
    </row>
    <row r="89" spans="1:202" ht="27" customHeight="1">
      <c r="A89" s="92"/>
      <c r="B89" s="93"/>
      <c r="C89" s="94"/>
      <c r="D89" s="94"/>
      <c r="E89" s="94"/>
      <c r="F89" s="95"/>
      <c r="G89" s="96"/>
      <c r="H89" s="96"/>
      <c r="I89" s="59"/>
      <c r="J89" s="59"/>
      <c r="K89" s="95"/>
      <c r="L89" s="95"/>
      <c r="M89" s="59"/>
      <c r="N89" s="59"/>
      <c r="O89" s="95"/>
      <c r="P89" s="59"/>
      <c r="Q89" s="59"/>
      <c r="R89" s="59"/>
      <c r="S89" s="97"/>
      <c r="T89" s="59"/>
      <c r="U89" s="98"/>
      <c r="V89" s="99"/>
      <c r="W89" s="98"/>
      <c r="X89" s="99"/>
      <c r="Y89" s="98"/>
      <c r="Z89" s="99"/>
      <c r="AA89" s="59"/>
      <c r="AB89" s="59"/>
      <c r="AC89" s="59"/>
      <c r="AD89" s="59"/>
      <c r="AE89" s="100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 t="s">
        <v>424</v>
      </c>
      <c r="DW89" s="59" t="s">
        <v>284</v>
      </c>
      <c r="DX89" s="59" t="s">
        <v>285</v>
      </c>
      <c r="DY89" s="59" t="s">
        <v>428</v>
      </c>
      <c r="DZ89" s="59" t="s">
        <v>347</v>
      </c>
      <c r="EA89" s="99">
        <v>2.05</v>
      </c>
      <c r="EB89" s="59">
        <v>2538</v>
      </c>
      <c r="EC89" s="59" t="s">
        <v>185</v>
      </c>
      <c r="ED89" s="59">
        <v>1.444</v>
      </c>
      <c r="EE89" s="99">
        <v>2.7</v>
      </c>
      <c r="EF89" s="59">
        <v>0.535</v>
      </c>
      <c r="EG89" s="196">
        <v>1.5</v>
      </c>
      <c r="EH89" s="59" t="s">
        <v>399</v>
      </c>
      <c r="EI89" s="103">
        <v>1.2</v>
      </c>
      <c r="EJ89" s="103">
        <v>1</v>
      </c>
      <c r="EK89" s="59">
        <v>0.018</v>
      </c>
      <c r="EL89" s="59">
        <v>0.562</v>
      </c>
      <c r="EM89" s="59">
        <v>0.06</v>
      </c>
      <c r="EN89" s="103">
        <v>1.2</v>
      </c>
      <c r="EO89" s="103">
        <f t="shared" si="5"/>
        <v>0.19999999999999996</v>
      </c>
      <c r="EP89" s="59">
        <v>0.15</v>
      </c>
      <c r="EQ89" s="59" t="s">
        <v>400</v>
      </c>
      <c r="ER89" s="59" t="s">
        <v>400</v>
      </c>
      <c r="ES89" s="59" t="s">
        <v>405</v>
      </c>
      <c r="ET89" s="103">
        <v>5</v>
      </c>
      <c r="EU89" s="59"/>
      <c r="EV89" s="103">
        <v>5</v>
      </c>
      <c r="EW89" s="103">
        <v>15</v>
      </c>
      <c r="EX89" s="103">
        <v>15</v>
      </c>
      <c r="EY89" s="59">
        <v>206.104</v>
      </c>
      <c r="EZ89" s="167">
        <v>205.504</v>
      </c>
      <c r="FA89" s="167">
        <v>1.2</v>
      </c>
      <c r="FB89" s="167">
        <v>1.2</v>
      </c>
      <c r="FC89" s="167" t="s">
        <v>400</v>
      </c>
      <c r="FD89" s="167" t="s">
        <v>400</v>
      </c>
      <c r="FE89" s="167" t="s">
        <v>400</v>
      </c>
      <c r="FF89" s="167" t="s">
        <v>400</v>
      </c>
      <c r="FG89" s="167">
        <v>2</v>
      </c>
      <c r="FH89" s="167" t="s">
        <v>400</v>
      </c>
      <c r="FI89" s="167" t="s">
        <v>400</v>
      </c>
      <c r="FJ89" s="167" t="s">
        <v>400</v>
      </c>
      <c r="FK89" s="167" t="s">
        <v>400</v>
      </c>
      <c r="FL89" s="167" t="s">
        <v>400</v>
      </c>
      <c r="FM89" s="167" t="s">
        <v>400</v>
      </c>
      <c r="FN89" s="167" t="s">
        <v>400</v>
      </c>
      <c r="FO89" s="167" t="s">
        <v>400</v>
      </c>
      <c r="FP89" s="167" t="s">
        <v>400</v>
      </c>
      <c r="FQ89" s="167" t="s">
        <v>400</v>
      </c>
      <c r="FR89" s="167">
        <v>9</v>
      </c>
      <c r="FS89" s="167" t="s">
        <v>400</v>
      </c>
      <c r="FT89" s="167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  <c r="GJ89" s="59"/>
      <c r="GK89" s="59"/>
      <c r="GL89" s="59"/>
      <c r="GM89" s="59"/>
      <c r="GN89" s="59"/>
      <c r="GO89" s="59"/>
      <c r="GP89" s="59"/>
      <c r="GQ89" s="59"/>
      <c r="GR89" s="59"/>
      <c r="GS89" s="59"/>
      <c r="GT89" s="59"/>
    </row>
    <row r="90" spans="1:202" ht="27" customHeight="1">
      <c r="A90" s="92"/>
      <c r="B90" s="93"/>
      <c r="C90" s="94"/>
      <c r="D90" s="94"/>
      <c r="E90" s="94"/>
      <c r="F90" s="95"/>
      <c r="G90" s="96"/>
      <c r="H90" s="96"/>
      <c r="I90" s="59"/>
      <c r="J90" s="59"/>
      <c r="K90" s="95"/>
      <c r="L90" s="95"/>
      <c r="M90" s="59"/>
      <c r="N90" s="59"/>
      <c r="O90" s="95"/>
      <c r="P90" s="59"/>
      <c r="Q90" s="59"/>
      <c r="R90" s="59"/>
      <c r="S90" s="97"/>
      <c r="T90" s="59"/>
      <c r="U90" s="98"/>
      <c r="V90" s="99"/>
      <c r="W90" s="98"/>
      <c r="X90" s="99"/>
      <c r="Y90" s="98"/>
      <c r="Z90" s="99"/>
      <c r="AA90" s="59"/>
      <c r="AB90" s="59"/>
      <c r="AC90" s="59"/>
      <c r="AD90" s="59"/>
      <c r="AE90" s="100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 t="s">
        <v>424</v>
      </c>
      <c r="DW90" s="59" t="s">
        <v>284</v>
      </c>
      <c r="DX90" s="59" t="s">
        <v>285</v>
      </c>
      <c r="DY90" s="59" t="s">
        <v>347</v>
      </c>
      <c r="DZ90" s="59" t="s">
        <v>429</v>
      </c>
      <c r="EA90" s="99">
        <v>1.8</v>
      </c>
      <c r="EB90" s="59">
        <v>2538</v>
      </c>
      <c r="EC90" s="59" t="s">
        <v>185</v>
      </c>
      <c r="ED90" s="59">
        <v>0.714</v>
      </c>
      <c r="EE90" s="59">
        <v>1.594</v>
      </c>
      <c r="EF90" s="59">
        <v>0.448</v>
      </c>
      <c r="EG90" s="196">
        <v>1.5</v>
      </c>
      <c r="EH90" s="59" t="s">
        <v>399</v>
      </c>
      <c r="EI90" s="103">
        <v>1</v>
      </c>
      <c r="EJ90" s="59">
        <v>0.75</v>
      </c>
      <c r="EK90" s="59">
        <v>0.018</v>
      </c>
      <c r="EL90" s="99">
        <v>0.43</v>
      </c>
      <c r="EM90" s="59">
        <v>0.06</v>
      </c>
      <c r="EN90" s="103">
        <v>0.9</v>
      </c>
      <c r="EO90" s="103">
        <f t="shared" si="5"/>
        <v>0.15000000000000002</v>
      </c>
      <c r="EP90" s="59">
        <v>0.15</v>
      </c>
      <c r="EQ90" s="59" t="s">
        <v>400</v>
      </c>
      <c r="ER90" s="59" t="s">
        <v>400</v>
      </c>
      <c r="ES90" s="59" t="s">
        <v>405</v>
      </c>
      <c r="ET90" s="103">
        <v>5</v>
      </c>
      <c r="EU90" s="59"/>
      <c r="EV90" s="103">
        <v>5</v>
      </c>
      <c r="EW90" s="103">
        <v>15</v>
      </c>
      <c r="EX90" s="103">
        <v>15</v>
      </c>
      <c r="EY90" s="59">
        <v>203.094</v>
      </c>
      <c r="EZ90" s="168">
        <v>202</v>
      </c>
      <c r="FA90" s="167">
        <v>1.2</v>
      </c>
      <c r="FB90" s="167">
        <v>1.2</v>
      </c>
      <c r="FC90" s="167" t="s">
        <v>400</v>
      </c>
      <c r="FD90" s="167" t="s">
        <v>400</v>
      </c>
      <c r="FE90" s="167" t="s">
        <v>400</v>
      </c>
      <c r="FF90" s="167" t="s">
        <v>400</v>
      </c>
      <c r="FG90" s="167">
        <v>1</v>
      </c>
      <c r="FH90" s="167" t="s">
        <v>400</v>
      </c>
      <c r="FI90" s="167" t="s">
        <v>400</v>
      </c>
      <c r="FJ90" s="167" t="s">
        <v>400</v>
      </c>
      <c r="FK90" s="167" t="s">
        <v>400</v>
      </c>
      <c r="FL90" s="167" t="s">
        <v>400</v>
      </c>
      <c r="FM90" s="167" t="s">
        <v>400</v>
      </c>
      <c r="FN90" s="167" t="s">
        <v>400</v>
      </c>
      <c r="FO90" s="167" t="s">
        <v>400</v>
      </c>
      <c r="FP90" s="167" t="s">
        <v>400</v>
      </c>
      <c r="FQ90" s="167" t="s">
        <v>400</v>
      </c>
      <c r="FR90" s="167">
        <v>7</v>
      </c>
      <c r="FS90" s="167" t="s">
        <v>400</v>
      </c>
      <c r="FT90" s="167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  <c r="GJ90" s="59"/>
      <c r="GK90" s="59"/>
      <c r="GL90" s="59"/>
      <c r="GM90" s="59"/>
      <c r="GN90" s="59"/>
      <c r="GO90" s="59"/>
      <c r="GP90" s="59"/>
      <c r="GQ90" s="59"/>
      <c r="GR90" s="59"/>
      <c r="GS90" s="59"/>
      <c r="GT90" s="59"/>
    </row>
    <row r="91" spans="1:202" ht="27" customHeight="1">
      <c r="A91" s="92"/>
      <c r="B91" s="93"/>
      <c r="C91" s="94"/>
      <c r="D91" s="94"/>
      <c r="E91" s="94"/>
      <c r="F91" s="95"/>
      <c r="G91" s="96"/>
      <c r="H91" s="96"/>
      <c r="I91" s="59"/>
      <c r="J91" s="59"/>
      <c r="K91" s="95"/>
      <c r="L91" s="95"/>
      <c r="M91" s="59"/>
      <c r="N91" s="59"/>
      <c r="O91" s="95"/>
      <c r="P91" s="59"/>
      <c r="Q91" s="59"/>
      <c r="R91" s="59"/>
      <c r="S91" s="97"/>
      <c r="T91" s="59"/>
      <c r="U91" s="98"/>
      <c r="V91" s="99"/>
      <c r="W91" s="98"/>
      <c r="X91" s="99"/>
      <c r="Y91" s="98"/>
      <c r="Z91" s="99"/>
      <c r="AA91" s="59"/>
      <c r="AB91" s="59"/>
      <c r="AC91" s="59"/>
      <c r="AD91" s="59"/>
      <c r="AE91" s="100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 t="s">
        <v>424</v>
      </c>
      <c r="DW91" s="59" t="s">
        <v>284</v>
      </c>
      <c r="DX91" s="59" t="s">
        <v>285</v>
      </c>
      <c r="DY91" s="59" t="s">
        <v>429</v>
      </c>
      <c r="DZ91" s="59" t="s">
        <v>430</v>
      </c>
      <c r="EA91" s="99">
        <v>1</v>
      </c>
      <c r="EB91" s="59">
        <v>2538</v>
      </c>
      <c r="EC91" s="59" t="s">
        <v>185</v>
      </c>
      <c r="ED91" s="59">
        <v>0.272</v>
      </c>
      <c r="EE91" s="59">
        <v>0.775</v>
      </c>
      <c r="EF91" s="99">
        <v>0.35</v>
      </c>
      <c r="EG91" s="196">
        <v>1.5</v>
      </c>
      <c r="EH91" s="59" t="s">
        <v>399</v>
      </c>
      <c r="EI91" s="103">
        <v>0.8</v>
      </c>
      <c r="EJ91" s="103">
        <v>0.5</v>
      </c>
      <c r="EK91" s="59">
        <v>0.018</v>
      </c>
      <c r="EL91" s="59">
        <v>0.298</v>
      </c>
      <c r="EM91" s="59">
        <v>0.06</v>
      </c>
      <c r="EN91" s="59">
        <v>0.65</v>
      </c>
      <c r="EO91" s="103">
        <f t="shared" si="5"/>
        <v>0.15000000000000002</v>
      </c>
      <c r="EP91" s="59">
        <v>0.15</v>
      </c>
      <c r="EQ91" s="59" t="s">
        <v>400</v>
      </c>
      <c r="ER91" s="59" t="s">
        <v>400</v>
      </c>
      <c r="ES91" s="59" t="s">
        <v>405</v>
      </c>
      <c r="ET91" s="103">
        <v>5</v>
      </c>
      <c r="EU91" s="59"/>
      <c r="EV91" s="103">
        <v>5</v>
      </c>
      <c r="EW91" s="103">
        <v>15</v>
      </c>
      <c r="EX91" s="103">
        <v>15</v>
      </c>
      <c r="EY91" s="59">
        <v>201.684</v>
      </c>
      <c r="EZ91" s="168">
        <v>199.99</v>
      </c>
      <c r="FA91" s="167">
        <v>1.2</v>
      </c>
      <c r="FB91" s="167">
        <v>1.2</v>
      </c>
      <c r="FC91" s="167" t="s">
        <v>400</v>
      </c>
      <c r="FD91" s="167" t="s">
        <v>400</v>
      </c>
      <c r="FE91" s="167" t="s">
        <v>400</v>
      </c>
      <c r="FF91" s="167">
        <v>1</v>
      </c>
      <c r="FG91" s="167">
        <v>3</v>
      </c>
      <c r="FH91" s="167" t="s">
        <v>400</v>
      </c>
      <c r="FI91" s="167" t="s">
        <v>400</v>
      </c>
      <c r="FJ91" s="167" t="s">
        <v>400</v>
      </c>
      <c r="FK91" s="167" t="s">
        <v>400</v>
      </c>
      <c r="FL91" s="167" t="s">
        <v>400</v>
      </c>
      <c r="FM91" s="167" t="s">
        <v>400</v>
      </c>
      <c r="FN91" s="167" t="s">
        <v>400</v>
      </c>
      <c r="FO91" s="167" t="s">
        <v>400</v>
      </c>
      <c r="FP91" s="167" t="s">
        <v>400</v>
      </c>
      <c r="FQ91" s="167" t="s">
        <v>400</v>
      </c>
      <c r="FR91" s="167" t="s">
        <v>400</v>
      </c>
      <c r="FS91" s="167">
        <v>1</v>
      </c>
      <c r="FT91" s="167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  <c r="GJ91" s="59"/>
      <c r="GK91" s="59"/>
      <c r="GL91" s="59"/>
      <c r="GM91" s="59"/>
      <c r="GN91" s="59"/>
      <c r="GO91" s="59"/>
      <c r="GP91" s="59"/>
      <c r="GQ91" s="59"/>
      <c r="GR91" s="59"/>
      <c r="GS91" s="59"/>
      <c r="GT91" s="59"/>
    </row>
    <row r="92" spans="1:202" ht="27" customHeight="1">
      <c r="A92" s="92"/>
      <c r="B92" s="93"/>
      <c r="C92" s="94"/>
      <c r="D92" s="94"/>
      <c r="E92" s="94"/>
      <c r="F92" s="95"/>
      <c r="G92" s="96"/>
      <c r="H92" s="96"/>
      <c r="I92" s="59"/>
      <c r="J92" s="59"/>
      <c r="K92" s="95"/>
      <c r="L92" s="95"/>
      <c r="M92" s="59"/>
      <c r="N92" s="59"/>
      <c r="O92" s="95"/>
      <c r="P92" s="59"/>
      <c r="Q92" s="59"/>
      <c r="R92" s="59"/>
      <c r="S92" s="97"/>
      <c r="T92" s="59"/>
      <c r="U92" s="98"/>
      <c r="V92" s="99"/>
      <c r="W92" s="98"/>
      <c r="X92" s="99"/>
      <c r="Y92" s="98"/>
      <c r="Z92" s="99"/>
      <c r="AA92" s="59"/>
      <c r="AB92" s="59"/>
      <c r="AC92" s="59"/>
      <c r="AD92" s="59"/>
      <c r="AE92" s="100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 t="s">
        <v>424</v>
      </c>
      <c r="DW92" s="59" t="s">
        <v>17</v>
      </c>
      <c r="DX92" s="59" t="s">
        <v>285</v>
      </c>
      <c r="DY92" s="59" t="s">
        <v>430</v>
      </c>
      <c r="DZ92" s="59" t="s">
        <v>431</v>
      </c>
      <c r="EA92" s="59">
        <v>200</v>
      </c>
      <c r="EB92" s="59">
        <v>2538</v>
      </c>
      <c r="EC92" s="59" t="s">
        <v>185</v>
      </c>
      <c r="ED92" s="59">
        <v>0.155</v>
      </c>
      <c r="EE92" s="99">
        <v>0.56</v>
      </c>
      <c r="EF92" s="59">
        <v>0.277</v>
      </c>
      <c r="EG92" s="196">
        <v>1.3</v>
      </c>
      <c r="EH92" s="59" t="s">
        <v>399</v>
      </c>
      <c r="EI92" s="103">
        <v>0.6</v>
      </c>
      <c r="EJ92" s="103">
        <v>0.4</v>
      </c>
      <c r="EK92" s="59">
        <v>0.025</v>
      </c>
      <c r="EL92" s="59">
        <v>0.234</v>
      </c>
      <c r="EM92" s="59" t="s">
        <v>400</v>
      </c>
      <c r="EN92" s="59" t="s">
        <v>400</v>
      </c>
      <c r="EO92" s="103">
        <v>0</v>
      </c>
      <c r="EP92" s="59">
        <v>0.15</v>
      </c>
      <c r="EQ92" s="59" t="s">
        <v>400</v>
      </c>
      <c r="ER92" s="59" t="s">
        <v>400</v>
      </c>
      <c r="ES92" s="59" t="s">
        <v>405</v>
      </c>
      <c r="ET92" s="59" t="s">
        <v>400</v>
      </c>
      <c r="EU92" s="59"/>
      <c r="EV92" s="103" t="s">
        <v>400</v>
      </c>
      <c r="EW92" s="103">
        <v>10</v>
      </c>
      <c r="EX92" s="103">
        <v>10</v>
      </c>
      <c r="EY92" s="59">
        <v>199.684</v>
      </c>
      <c r="EZ92" s="168">
        <v>198.78</v>
      </c>
      <c r="FA92" s="167">
        <v>1.2</v>
      </c>
      <c r="FB92" s="167">
        <v>1.2</v>
      </c>
      <c r="FC92" s="167" t="s">
        <v>400</v>
      </c>
      <c r="FD92" s="167" t="s">
        <v>400</v>
      </c>
      <c r="FE92" s="167" t="s">
        <v>400</v>
      </c>
      <c r="FF92" s="167" t="s">
        <v>400</v>
      </c>
      <c r="FG92" s="167" t="s">
        <v>400</v>
      </c>
      <c r="FH92" s="167" t="s">
        <v>400</v>
      </c>
      <c r="FI92" s="167" t="s">
        <v>400</v>
      </c>
      <c r="FJ92" s="167" t="s">
        <v>400</v>
      </c>
      <c r="FK92" s="167" t="s">
        <v>400</v>
      </c>
      <c r="FL92" s="167" t="s">
        <v>400</v>
      </c>
      <c r="FM92" s="167" t="s">
        <v>400</v>
      </c>
      <c r="FN92" s="167">
        <v>1</v>
      </c>
      <c r="FO92" s="167" t="s">
        <v>400</v>
      </c>
      <c r="FP92" s="167" t="s">
        <v>400</v>
      </c>
      <c r="FQ92" s="167" t="s">
        <v>400</v>
      </c>
      <c r="FR92" s="167" t="s">
        <v>400</v>
      </c>
      <c r="FS92" s="167" t="s">
        <v>400</v>
      </c>
      <c r="FT92" s="167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  <c r="GJ92" s="59"/>
      <c r="GK92" s="59"/>
      <c r="GL92" s="59"/>
      <c r="GM92" s="59"/>
      <c r="GN92" s="59"/>
      <c r="GO92" s="59"/>
      <c r="GP92" s="59"/>
      <c r="GQ92" s="59"/>
      <c r="GR92" s="59"/>
      <c r="GS92" s="59"/>
      <c r="GT92" s="59"/>
    </row>
    <row r="93" spans="1:202" ht="27" customHeight="1">
      <c r="A93" s="92"/>
      <c r="B93" s="93"/>
      <c r="C93" s="94"/>
      <c r="D93" s="94"/>
      <c r="E93" s="94"/>
      <c r="F93" s="95"/>
      <c r="G93" s="96"/>
      <c r="H93" s="96"/>
      <c r="I93" s="59"/>
      <c r="J93" s="59"/>
      <c r="K93" s="95"/>
      <c r="L93" s="95"/>
      <c r="M93" s="59"/>
      <c r="N93" s="59"/>
      <c r="O93" s="95"/>
      <c r="P93" s="59"/>
      <c r="Q93" s="59"/>
      <c r="R93" s="59"/>
      <c r="S93" s="97"/>
      <c r="T93" s="59"/>
      <c r="U93" s="98"/>
      <c r="V93" s="99"/>
      <c r="W93" s="98"/>
      <c r="X93" s="99"/>
      <c r="Y93" s="98"/>
      <c r="Z93" s="99"/>
      <c r="AA93" s="59"/>
      <c r="AB93" s="59"/>
      <c r="AC93" s="59"/>
      <c r="AD93" s="59"/>
      <c r="AE93" s="100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 t="s">
        <v>432</v>
      </c>
      <c r="DW93" s="59" t="s">
        <v>284</v>
      </c>
      <c r="DX93" s="59" t="s">
        <v>285</v>
      </c>
      <c r="DY93" s="59" t="s">
        <v>286</v>
      </c>
      <c r="DZ93" s="59" t="s">
        <v>433</v>
      </c>
      <c r="EA93" s="99">
        <v>2.85</v>
      </c>
      <c r="EB93" s="59">
        <v>2538</v>
      </c>
      <c r="EC93" s="59" t="s">
        <v>185</v>
      </c>
      <c r="ED93" s="59">
        <v>0.816</v>
      </c>
      <c r="EE93" s="99">
        <v>1.76</v>
      </c>
      <c r="EF93" s="59">
        <v>0.463</v>
      </c>
      <c r="EG93" s="196">
        <v>1.5</v>
      </c>
      <c r="EH93" s="59" t="s">
        <v>399</v>
      </c>
      <c r="EI93" s="103">
        <v>1</v>
      </c>
      <c r="EJ93" s="103">
        <v>0.8</v>
      </c>
      <c r="EK93" s="59">
        <v>0.018</v>
      </c>
      <c r="EL93" s="59">
        <v>0.453</v>
      </c>
      <c r="EM93" s="59">
        <v>0.06</v>
      </c>
      <c r="EN93" s="59">
        <v>0.95</v>
      </c>
      <c r="EO93" s="103">
        <f t="shared" si="5"/>
        <v>0.1499999999999999</v>
      </c>
      <c r="EP93" s="59">
        <v>0.15</v>
      </c>
      <c r="EQ93" s="59" t="s">
        <v>400</v>
      </c>
      <c r="ER93" s="59" t="s">
        <v>400</v>
      </c>
      <c r="ES93" s="59" t="s">
        <v>405</v>
      </c>
      <c r="ET93" s="103">
        <v>5</v>
      </c>
      <c r="EU93" s="59"/>
      <c r="EV93" s="103">
        <v>5</v>
      </c>
      <c r="EW93" s="103">
        <v>15</v>
      </c>
      <c r="EX93" s="103">
        <v>15</v>
      </c>
      <c r="EY93" s="59">
        <v>210.824</v>
      </c>
      <c r="EZ93" s="168">
        <v>209.85</v>
      </c>
      <c r="FA93" s="167">
        <v>1.2</v>
      </c>
      <c r="FB93" s="167">
        <v>1.2</v>
      </c>
      <c r="FC93" s="167" t="s">
        <v>400</v>
      </c>
      <c r="FD93" s="167" t="s">
        <v>400</v>
      </c>
      <c r="FE93" s="167">
        <v>1</v>
      </c>
      <c r="FF93" s="167">
        <v>1</v>
      </c>
      <c r="FG93" s="167">
        <v>2</v>
      </c>
      <c r="FH93" s="167" t="s">
        <v>400</v>
      </c>
      <c r="FI93" s="167" t="s">
        <v>400</v>
      </c>
      <c r="FJ93" s="167" t="s">
        <v>400</v>
      </c>
      <c r="FK93" s="167" t="s">
        <v>400</v>
      </c>
      <c r="FL93" s="167" t="s">
        <v>400</v>
      </c>
      <c r="FM93" s="167" t="s">
        <v>400</v>
      </c>
      <c r="FN93" s="167" t="s">
        <v>400</v>
      </c>
      <c r="FO93" s="167" t="s">
        <v>400</v>
      </c>
      <c r="FP93" s="167" t="s">
        <v>400</v>
      </c>
      <c r="FQ93" s="167" t="s">
        <v>400</v>
      </c>
      <c r="FR93" s="167">
        <v>8</v>
      </c>
      <c r="FS93" s="167" t="s">
        <v>400</v>
      </c>
      <c r="FT93" s="167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  <c r="GJ93" s="59"/>
      <c r="GK93" s="59"/>
      <c r="GL93" s="59"/>
      <c r="GM93" s="59"/>
      <c r="GN93" s="59"/>
      <c r="GO93" s="59"/>
      <c r="GP93" s="59"/>
      <c r="GQ93" s="59"/>
      <c r="GR93" s="59"/>
      <c r="GS93" s="59"/>
      <c r="GT93" s="59"/>
    </row>
    <row r="94" spans="1:202" ht="27" customHeight="1">
      <c r="A94" s="92"/>
      <c r="B94" s="93"/>
      <c r="C94" s="94"/>
      <c r="D94" s="94"/>
      <c r="E94" s="94"/>
      <c r="F94" s="95"/>
      <c r="G94" s="96"/>
      <c r="H94" s="96"/>
      <c r="I94" s="59"/>
      <c r="J94" s="59"/>
      <c r="K94" s="95"/>
      <c r="L94" s="95"/>
      <c r="M94" s="59"/>
      <c r="N94" s="59"/>
      <c r="O94" s="95"/>
      <c r="P94" s="59"/>
      <c r="Q94" s="59"/>
      <c r="R94" s="59"/>
      <c r="S94" s="97"/>
      <c r="T94" s="59"/>
      <c r="U94" s="98"/>
      <c r="V94" s="99"/>
      <c r="W94" s="98"/>
      <c r="X94" s="99"/>
      <c r="Y94" s="98"/>
      <c r="Z94" s="99"/>
      <c r="AA94" s="59"/>
      <c r="AB94" s="59"/>
      <c r="AC94" s="59"/>
      <c r="AD94" s="59"/>
      <c r="AE94" s="100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 t="s">
        <v>432</v>
      </c>
      <c r="DW94" s="59" t="s">
        <v>284</v>
      </c>
      <c r="DX94" s="59" t="s">
        <v>285</v>
      </c>
      <c r="DY94" s="59" t="s">
        <v>433</v>
      </c>
      <c r="DZ94" s="59" t="s">
        <v>434</v>
      </c>
      <c r="EA94" s="59">
        <v>950</v>
      </c>
      <c r="EB94" s="59">
        <v>2538</v>
      </c>
      <c r="EC94" s="59" t="s">
        <v>185</v>
      </c>
      <c r="ED94" s="59">
        <v>0.543</v>
      </c>
      <c r="EE94" s="59">
        <v>1.295</v>
      </c>
      <c r="EF94" s="59">
        <v>0.419</v>
      </c>
      <c r="EG94" s="196">
        <v>1.5</v>
      </c>
      <c r="EH94" s="59" t="s">
        <v>399</v>
      </c>
      <c r="EI94" s="103">
        <v>0.8</v>
      </c>
      <c r="EJ94" s="103">
        <v>0.7</v>
      </c>
      <c r="EK94" s="59">
        <v>0.018</v>
      </c>
      <c r="EL94" s="99">
        <v>0.39</v>
      </c>
      <c r="EM94" s="59">
        <v>0.06</v>
      </c>
      <c r="EN94" s="59">
        <v>0.85</v>
      </c>
      <c r="EO94" s="103">
        <f t="shared" si="5"/>
        <v>0.15000000000000002</v>
      </c>
      <c r="EP94" s="59">
        <v>0.15</v>
      </c>
      <c r="EQ94" s="59" t="s">
        <v>400</v>
      </c>
      <c r="ER94" s="59" t="s">
        <v>400</v>
      </c>
      <c r="ES94" s="59" t="s">
        <v>405</v>
      </c>
      <c r="ET94" s="103">
        <v>5</v>
      </c>
      <c r="EU94" s="59"/>
      <c r="EV94" s="103">
        <v>5</v>
      </c>
      <c r="EW94" s="103">
        <v>15</v>
      </c>
      <c r="EX94" s="103">
        <v>15</v>
      </c>
      <c r="EY94" s="59">
        <v>208.204</v>
      </c>
      <c r="EZ94" s="167">
        <v>207.112</v>
      </c>
      <c r="FA94" s="167">
        <v>1.2</v>
      </c>
      <c r="FB94" s="167">
        <v>1.2</v>
      </c>
      <c r="FC94" s="167" t="s">
        <v>400</v>
      </c>
      <c r="FD94" s="167" t="s">
        <v>400</v>
      </c>
      <c r="FE94" s="167" t="s">
        <v>400</v>
      </c>
      <c r="FF94" s="167" t="s">
        <v>400</v>
      </c>
      <c r="FG94" s="167">
        <v>1</v>
      </c>
      <c r="FH94" s="167" t="s">
        <v>400</v>
      </c>
      <c r="FI94" s="171">
        <v>1</v>
      </c>
      <c r="FJ94" s="167" t="s">
        <v>400</v>
      </c>
      <c r="FK94" s="167" t="s">
        <v>400</v>
      </c>
      <c r="FL94" s="167" t="s">
        <v>400</v>
      </c>
      <c r="FM94" s="167" t="s">
        <v>400</v>
      </c>
      <c r="FN94" s="167" t="s">
        <v>400</v>
      </c>
      <c r="FO94" s="167" t="s">
        <v>400</v>
      </c>
      <c r="FP94" s="167" t="s">
        <v>400</v>
      </c>
      <c r="FQ94" s="167" t="s">
        <v>400</v>
      </c>
      <c r="FR94" s="167">
        <v>2</v>
      </c>
      <c r="FS94" s="167" t="s">
        <v>400</v>
      </c>
      <c r="FT94" s="167"/>
      <c r="FU94" s="59"/>
      <c r="FV94" s="59"/>
      <c r="FW94" s="59"/>
      <c r="FX94" s="59"/>
      <c r="FY94" s="59"/>
      <c r="FZ94" s="59"/>
      <c r="GA94" s="59"/>
      <c r="GB94" s="59"/>
      <c r="GC94" s="59"/>
      <c r="GD94" s="59"/>
      <c r="GE94" s="59"/>
      <c r="GF94" s="59"/>
      <c r="GG94" s="59"/>
      <c r="GH94" s="59"/>
      <c r="GI94" s="59"/>
      <c r="GJ94" s="59"/>
      <c r="GK94" s="59"/>
      <c r="GL94" s="59"/>
      <c r="GM94" s="59"/>
      <c r="GN94" s="59"/>
      <c r="GO94" s="59"/>
      <c r="GP94" s="59"/>
      <c r="GQ94" s="59"/>
      <c r="GR94" s="59"/>
      <c r="GS94" s="59"/>
      <c r="GT94" s="59"/>
    </row>
    <row r="95" spans="1:202" ht="27" customHeight="1">
      <c r="A95" s="92"/>
      <c r="B95" s="93"/>
      <c r="C95" s="94"/>
      <c r="D95" s="94"/>
      <c r="E95" s="94"/>
      <c r="F95" s="95"/>
      <c r="G95" s="96"/>
      <c r="H95" s="96"/>
      <c r="I95" s="59"/>
      <c r="J95" s="59"/>
      <c r="K95" s="95"/>
      <c r="L95" s="95"/>
      <c r="M95" s="59"/>
      <c r="N95" s="59"/>
      <c r="O95" s="95"/>
      <c r="P95" s="59"/>
      <c r="Q95" s="59"/>
      <c r="R95" s="59"/>
      <c r="S95" s="97"/>
      <c r="T95" s="59"/>
      <c r="U95" s="98"/>
      <c r="V95" s="99"/>
      <c r="W95" s="98"/>
      <c r="X95" s="99"/>
      <c r="Y95" s="98"/>
      <c r="Z95" s="99"/>
      <c r="AA95" s="59"/>
      <c r="AB95" s="59"/>
      <c r="AC95" s="59"/>
      <c r="AD95" s="59"/>
      <c r="AE95" s="100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 t="s">
        <v>432</v>
      </c>
      <c r="DW95" s="59" t="s">
        <v>284</v>
      </c>
      <c r="DX95" s="59" t="s">
        <v>285</v>
      </c>
      <c r="DY95" s="59" t="s">
        <v>434</v>
      </c>
      <c r="DZ95" s="59" t="s">
        <v>435</v>
      </c>
      <c r="EA95" s="99">
        <v>1.56</v>
      </c>
      <c r="EB95" s="59">
        <v>2538</v>
      </c>
      <c r="EC95" s="59" t="s">
        <v>185</v>
      </c>
      <c r="ED95" s="59">
        <v>0.394</v>
      </c>
      <c r="EE95" s="99">
        <v>1.02</v>
      </c>
      <c r="EF95" s="59">
        <v>0.386</v>
      </c>
      <c r="EG95" s="196">
        <v>1.5</v>
      </c>
      <c r="EH95" s="59" t="s">
        <v>399</v>
      </c>
      <c r="EI95" s="103">
        <v>0.8</v>
      </c>
      <c r="EJ95" s="103">
        <v>0.6</v>
      </c>
      <c r="EK95" s="59">
        <v>0.018</v>
      </c>
      <c r="EL95" s="59">
        <v>0.344</v>
      </c>
      <c r="EM95" s="59">
        <v>0.06</v>
      </c>
      <c r="EN95" s="59">
        <v>0.75</v>
      </c>
      <c r="EO95" s="103">
        <f t="shared" si="5"/>
        <v>0.15000000000000002</v>
      </c>
      <c r="EP95" s="59">
        <v>0.15</v>
      </c>
      <c r="EQ95" s="59" t="s">
        <v>400</v>
      </c>
      <c r="ER95" s="59" t="s">
        <v>400</v>
      </c>
      <c r="ES95" s="59" t="s">
        <v>405</v>
      </c>
      <c r="ET95" s="103">
        <v>5</v>
      </c>
      <c r="EU95" s="59"/>
      <c r="EV95" s="103">
        <v>5</v>
      </c>
      <c r="EW95" s="103">
        <v>15</v>
      </c>
      <c r="EX95" s="103">
        <v>15</v>
      </c>
      <c r="EY95" s="59">
        <v>205.764</v>
      </c>
      <c r="EZ95" s="168">
        <v>204.9</v>
      </c>
      <c r="FA95" s="167">
        <v>1.2</v>
      </c>
      <c r="FB95" s="167">
        <v>1.2</v>
      </c>
      <c r="FC95" s="167" t="s">
        <v>400</v>
      </c>
      <c r="FD95" s="167" t="s">
        <v>400</v>
      </c>
      <c r="FE95" s="167" t="s">
        <v>400</v>
      </c>
      <c r="FF95" s="167" t="s">
        <v>400</v>
      </c>
      <c r="FG95" s="167">
        <v>1</v>
      </c>
      <c r="FH95" s="167" t="s">
        <v>400</v>
      </c>
      <c r="FI95" s="167" t="s">
        <v>400</v>
      </c>
      <c r="FJ95" s="167" t="s">
        <v>400</v>
      </c>
      <c r="FK95" s="167" t="s">
        <v>400</v>
      </c>
      <c r="FL95" s="167" t="s">
        <v>400</v>
      </c>
      <c r="FM95" s="167" t="s">
        <v>400</v>
      </c>
      <c r="FN95" s="167" t="s">
        <v>400</v>
      </c>
      <c r="FO95" s="167" t="s">
        <v>400</v>
      </c>
      <c r="FP95" s="167" t="s">
        <v>400</v>
      </c>
      <c r="FQ95" s="167" t="s">
        <v>400</v>
      </c>
      <c r="FR95" s="167">
        <v>2</v>
      </c>
      <c r="FS95" s="167" t="s">
        <v>400</v>
      </c>
      <c r="FT95" s="167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  <c r="GO95" s="59"/>
      <c r="GP95" s="59"/>
      <c r="GQ95" s="59"/>
      <c r="GR95" s="59"/>
      <c r="GS95" s="59"/>
      <c r="GT95" s="59"/>
    </row>
    <row r="96" spans="1:202" ht="27" customHeight="1">
      <c r="A96" s="92"/>
      <c r="B96" s="93"/>
      <c r="C96" s="94"/>
      <c r="D96" s="94"/>
      <c r="E96" s="94"/>
      <c r="F96" s="95"/>
      <c r="G96" s="96"/>
      <c r="H96" s="96"/>
      <c r="I96" s="59"/>
      <c r="J96" s="59"/>
      <c r="K96" s="95"/>
      <c r="L96" s="95"/>
      <c r="M96" s="59"/>
      <c r="N96" s="59"/>
      <c r="O96" s="95"/>
      <c r="P96" s="59"/>
      <c r="Q96" s="59"/>
      <c r="R96" s="59"/>
      <c r="S96" s="97"/>
      <c r="T96" s="59"/>
      <c r="U96" s="98"/>
      <c r="V96" s="99"/>
      <c r="W96" s="98"/>
      <c r="X96" s="99"/>
      <c r="Y96" s="98"/>
      <c r="Z96" s="99"/>
      <c r="AA96" s="59"/>
      <c r="AB96" s="59"/>
      <c r="AC96" s="59"/>
      <c r="AD96" s="59"/>
      <c r="AE96" s="100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 t="s">
        <v>432</v>
      </c>
      <c r="DW96" s="59" t="s">
        <v>284</v>
      </c>
      <c r="DX96" s="59" t="s">
        <v>285</v>
      </c>
      <c r="DY96" s="59" t="s">
        <v>435</v>
      </c>
      <c r="DZ96" s="59" t="s">
        <v>427</v>
      </c>
      <c r="EA96" s="99">
        <v>1.14</v>
      </c>
      <c r="EB96" s="59">
        <v>2538</v>
      </c>
      <c r="EC96" s="59" t="s">
        <v>185</v>
      </c>
      <c r="ED96" s="59">
        <v>0.227</v>
      </c>
      <c r="EE96" s="59">
        <v>0.675</v>
      </c>
      <c r="EF96" s="59">
        <v>0.337</v>
      </c>
      <c r="EG96" s="196">
        <v>1.5</v>
      </c>
      <c r="EH96" s="59" t="s">
        <v>399</v>
      </c>
      <c r="EI96" s="103">
        <v>0.6</v>
      </c>
      <c r="EJ96" s="103">
        <v>0.5</v>
      </c>
      <c r="EK96" s="59">
        <v>0.018</v>
      </c>
      <c r="EL96" s="59">
        <v>0.281</v>
      </c>
      <c r="EM96" s="59">
        <v>0.06</v>
      </c>
      <c r="EN96" s="59">
        <v>0.65</v>
      </c>
      <c r="EO96" s="103">
        <f t="shared" si="5"/>
        <v>0.15000000000000002</v>
      </c>
      <c r="EP96" s="59">
        <v>0.15</v>
      </c>
      <c r="EQ96" s="59"/>
      <c r="ER96" s="59"/>
      <c r="ES96" s="59" t="s">
        <v>405</v>
      </c>
      <c r="ET96" s="103">
        <v>5</v>
      </c>
      <c r="EU96" s="59"/>
      <c r="EV96" s="103">
        <v>5</v>
      </c>
      <c r="EW96" s="103">
        <v>15</v>
      </c>
      <c r="EX96" s="103">
        <v>15</v>
      </c>
      <c r="EY96" s="59">
        <v>202.802</v>
      </c>
      <c r="EZ96" s="168">
        <v>202.6</v>
      </c>
      <c r="FA96" s="167">
        <v>1.2</v>
      </c>
      <c r="FB96" s="167">
        <v>1.2</v>
      </c>
      <c r="FC96" s="167" t="s">
        <v>400</v>
      </c>
      <c r="FD96" s="167" t="s">
        <v>400</v>
      </c>
      <c r="FE96" s="167" t="s">
        <v>400</v>
      </c>
      <c r="FF96" s="167" t="s">
        <v>400</v>
      </c>
      <c r="FG96" s="167" t="s">
        <v>400</v>
      </c>
      <c r="FH96" s="167" t="s">
        <v>400</v>
      </c>
      <c r="FI96" s="167" t="s">
        <v>400</v>
      </c>
      <c r="FJ96" s="167" t="s">
        <v>400</v>
      </c>
      <c r="FK96" s="167" t="s">
        <v>400</v>
      </c>
      <c r="FL96" s="167" t="s">
        <v>400</v>
      </c>
      <c r="FM96" s="167" t="s">
        <v>400</v>
      </c>
      <c r="FN96" s="167" t="s">
        <v>400</v>
      </c>
      <c r="FO96" s="167" t="s">
        <v>400</v>
      </c>
      <c r="FP96" s="167" t="s">
        <v>400</v>
      </c>
      <c r="FQ96" s="167" t="s">
        <v>400</v>
      </c>
      <c r="FR96" s="167">
        <v>4</v>
      </c>
      <c r="FS96" s="167" t="s">
        <v>400</v>
      </c>
      <c r="FT96" s="167"/>
      <c r="FU96" s="59"/>
      <c r="FV96" s="59"/>
      <c r="FW96" s="59"/>
      <c r="FX96" s="59"/>
      <c r="FY96" s="59"/>
      <c r="FZ96" s="59"/>
      <c r="GA96" s="59"/>
      <c r="GB96" s="59"/>
      <c r="GC96" s="59"/>
      <c r="GD96" s="59"/>
      <c r="GE96" s="59"/>
      <c r="GF96" s="59"/>
      <c r="GG96" s="59"/>
      <c r="GH96" s="59"/>
      <c r="GI96" s="59"/>
      <c r="GJ96" s="59"/>
      <c r="GK96" s="59"/>
      <c r="GL96" s="59"/>
      <c r="GM96" s="59"/>
      <c r="GN96" s="59"/>
      <c r="GO96" s="59"/>
      <c r="GP96" s="59"/>
      <c r="GQ96" s="59"/>
      <c r="GR96" s="59"/>
      <c r="GS96" s="59"/>
      <c r="GT96" s="59"/>
    </row>
    <row r="97" spans="1:202" ht="27" customHeight="1">
      <c r="A97" s="92"/>
      <c r="B97" s="93"/>
      <c r="C97" s="94"/>
      <c r="D97" s="94"/>
      <c r="E97" s="94"/>
      <c r="F97" s="95"/>
      <c r="G97" s="96"/>
      <c r="H97" s="96"/>
      <c r="I97" s="59"/>
      <c r="J97" s="59"/>
      <c r="K97" s="95"/>
      <c r="L97" s="95"/>
      <c r="M97" s="59"/>
      <c r="N97" s="59"/>
      <c r="O97" s="95"/>
      <c r="P97" s="59"/>
      <c r="Q97" s="59"/>
      <c r="R97" s="59"/>
      <c r="S97" s="97"/>
      <c r="T97" s="59"/>
      <c r="U97" s="98"/>
      <c r="V97" s="99"/>
      <c r="W97" s="98"/>
      <c r="X97" s="99"/>
      <c r="Y97" s="98"/>
      <c r="Z97" s="99"/>
      <c r="AA97" s="59"/>
      <c r="AB97" s="59"/>
      <c r="AC97" s="59"/>
      <c r="AD97" s="59"/>
      <c r="AE97" s="100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 t="s">
        <v>432</v>
      </c>
      <c r="DW97" s="59" t="s">
        <v>17</v>
      </c>
      <c r="DX97" s="59" t="s">
        <v>285</v>
      </c>
      <c r="DY97" s="59" t="s">
        <v>427</v>
      </c>
      <c r="DZ97" s="59" t="s">
        <v>436</v>
      </c>
      <c r="EA97" s="59">
        <v>250</v>
      </c>
      <c r="EB97" s="59">
        <v>2538</v>
      </c>
      <c r="EC97" s="59" t="s">
        <v>185</v>
      </c>
      <c r="ED97" s="59">
        <v>0.155</v>
      </c>
      <c r="EE97" s="99">
        <v>0.56</v>
      </c>
      <c r="EF97" s="59">
        <v>0.277</v>
      </c>
      <c r="EG97" s="196">
        <v>1.3</v>
      </c>
      <c r="EH97" s="59" t="s">
        <v>399</v>
      </c>
      <c r="EI97" s="103">
        <v>0.6</v>
      </c>
      <c r="EJ97" s="103">
        <v>0.4</v>
      </c>
      <c r="EK97" s="59">
        <v>0.025</v>
      </c>
      <c r="EL97" s="59">
        <v>0.234</v>
      </c>
      <c r="EM97" s="59" t="s">
        <v>400</v>
      </c>
      <c r="EN97" s="59">
        <v>0</v>
      </c>
      <c r="EO97" s="103">
        <v>0</v>
      </c>
      <c r="EP97" s="59">
        <v>0.15</v>
      </c>
      <c r="EQ97" s="59"/>
      <c r="ER97" s="59"/>
      <c r="ES97" s="59" t="s">
        <v>405</v>
      </c>
      <c r="ET97" s="59" t="s">
        <v>400</v>
      </c>
      <c r="EU97" s="59"/>
      <c r="EV97" s="59" t="s">
        <v>400</v>
      </c>
      <c r="EW97" s="103">
        <v>10</v>
      </c>
      <c r="EX97" s="103">
        <v>10</v>
      </c>
      <c r="EY97" s="59">
        <v>202.574</v>
      </c>
      <c r="EZ97" s="168">
        <v>201.29</v>
      </c>
      <c r="FA97" s="167">
        <v>1.2</v>
      </c>
      <c r="FB97" s="167">
        <v>1.2</v>
      </c>
      <c r="FC97" s="167" t="s">
        <v>400</v>
      </c>
      <c r="FD97" s="167" t="s">
        <v>400</v>
      </c>
      <c r="FE97" s="167" t="s">
        <v>400</v>
      </c>
      <c r="FF97" s="167" t="s">
        <v>400</v>
      </c>
      <c r="FG97" s="167" t="s">
        <v>400</v>
      </c>
      <c r="FH97" s="167" t="s">
        <v>400</v>
      </c>
      <c r="FI97" s="167" t="s">
        <v>400</v>
      </c>
      <c r="FJ97" s="167" t="s">
        <v>400</v>
      </c>
      <c r="FK97" s="167" t="s">
        <v>400</v>
      </c>
      <c r="FL97" s="167" t="s">
        <v>400</v>
      </c>
      <c r="FM97" s="167" t="s">
        <v>400</v>
      </c>
      <c r="FN97" s="167">
        <v>1</v>
      </c>
      <c r="FO97" s="167" t="s">
        <v>400</v>
      </c>
      <c r="FP97" s="167" t="s">
        <v>400</v>
      </c>
      <c r="FQ97" s="167" t="s">
        <v>400</v>
      </c>
      <c r="FR97" s="167" t="s">
        <v>400</v>
      </c>
      <c r="FS97" s="167">
        <v>1</v>
      </c>
      <c r="FT97" s="167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</row>
    <row r="98" spans="1:202" ht="27" customHeight="1">
      <c r="A98" s="92"/>
      <c r="B98" s="93"/>
      <c r="C98" s="94"/>
      <c r="D98" s="94"/>
      <c r="E98" s="94"/>
      <c r="F98" s="95"/>
      <c r="G98" s="96"/>
      <c r="H98" s="96"/>
      <c r="I98" s="59"/>
      <c r="J98" s="59"/>
      <c r="K98" s="95"/>
      <c r="L98" s="95"/>
      <c r="M98" s="59"/>
      <c r="N98" s="59"/>
      <c r="O98" s="95"/>
      <c r="P98" s="59"/>
      <c r="Q98" s="59"/>
      <c r="R98" s="59"/>
      <c r="S98" s="97"/>
      <c r="T98" s="59"/>
      <c r="U98" s="98"/>
      <c r="V98" s="99"/>
      <c r="W98" s="98"/>
      <c r="X98" s="99"/>
      <c r="Y98" s="98"/>
      <c r="Z98" s="99"/>
      <c r="AA98" s="59"/>
      <c r="AB98" s="59"/>
      <c r="AC98" s="59"/>
      <c r="AD98" s="59"/>
      <c r="AE98" s="100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 t="s">
        <v>437</v>
      </c>
      <c r="DW98" s="59" t="s">
        <v>284</v>
      </c>
      <c r="DX98" s="59" t="s">
        <v>285</v>
      </c>
      <c r="DY98" s="59" t="s">
        <v>286</v>
      </c>
      <c r="DZ98" s="59" t="s">
        <v>438</v>
      </c>
      <c r="EA98" s="99">
        <v>1.54</v>
      </c>
      <c r="EB98" s="59">
        <v>2538</v>
      </c>
      <c r="EC98" s="59" t="s">
        <v>185</v>
      </c>
      <c r="ED98" s="59">
        <v>0.272</v>
      </c>
      <c r="EE98" s="59">
        <v>0.775</v>
      </c>
      <c r="EF98" s="99">
        <v>0.35</v>
      </c>
      <c r="EG98" s="196">
        <v>1.5</v>
      </c>
      <c r="EH98" s="59" t="s">
        <v>399</v>
      </c>
      <c r="EI98" s="103">
        <v>0.6</v>
      </c>
      <c r="EJ98" s="103">
        <v>0.8</v>
      </c>
      <c r="EK98" s="59">
        <v>0.018</v>
      </c>
      <c r="EL98" s="59">
        <v>0.298</v>
      </c>
      <c r="EM98" s="59">
        <v>0.06</v>
      </c>
      <c r="EN98" s="59">
        <v>0.65</v>
      </c>
      <c r="EO98" s="103">
        <f t="shared" si="5"/>
        <v>-0.15000000000000002</v>
      </c>
      <c r="EP98" s="59">
        <v>0.15</v>
      </c>
      <c r="EQ98" s="59"/>
      <c r="ER98" s="59"/>
      <c r="ES98" s="59" t="s">
        <v>405</v>
      </c>
      <c r="ET98" s="103">
        <v>5</v>
      </c>
      <c r="EU98" s="59"/>
      <c r="EV98" s="103">
        <v>5</v>
      </c>
      <c r="EW98" s="103">
        <v>15</v>
      </c>
      <c r="EX98" s="103">
        <v>15</v>
      </c>
      <c r="EY98" s="59">
        <v>205.704</v>
      </c>
      <c r="EZ98" s="168">
        <v>205</v>
      </c>
      <c r="FA98" s="167">
        <v>1.2</v>
      </c>
      <c r="FB98" s="167">
        <v>1.2</v>
      </c>
      <c r="FC98" s="167" t="s">
        <v>400</v>
      </c>
      <c r="FD98" s="167" t="s">
        <v>400</v>
      </c>
      <c r="FE98" s="167" t="s">
        <v>400</v>
      </c>
      <c r="FF98" s="167" t="s">
        <v>400</v>
      </c>
      <c r="FG98" s="167">
        <v>2</v>
      </c>
      <c r="FH98" s="167" t="s">
        <v>400</v>
      </c>
      <c r="FI98" s="167" t="s">
        <v>400</v>
      </c>
      <c r="FJ98" s="167" t="s">
        <v>400</v>
      </c>
      <c r="FK98" s="167">
        <v>2</v>
      </c>
      <c r="FL98" s="167" t="s">
        <v>400</v>
      </c>
      <c r="FM98" s="167" t="s">
        <v>400</v>
      </c>
      <c r="FN98" s="167" t="s">
        <v>400</v>
      </c>
      <c r="FO98" s="167" t="s">
        <v>400</v>
      </c>
      <c r="FP98" s="167" t="s">
        <v>400</v>
      </c>
      <c r="FQ98" s="167" t="s">
        <v>400</v>
      </c>
      <c r="FR98" s="167">
        <v>5</v>
      </c>
      <c r="FS98" s="167" t="s">
        <v>400</v>
      </c>
      <c r="FT98" s="167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</row>
    <row r="99" spans="1:202" ht="27" customHeight="1">
      <c r="A99" s="92"/>
      <c r="B99" s="93"/>
      <c r="C99" s="94"/>
      <c r="D99" s="94"/>
      <c r="E99" s="94"/>
      <c r="F99" s="95"/>
      <c r="G99" s="96"/>
      <c r="H99" s="96"/>
      <c r="I99" s="59"/>
      <c r="J99" s="59"/>
      <c r="K99" s="95"/>
      <c r="L99" s="95"/>
      <c r="M99" s="59"/>
      <c r="N99" s="59"/>
      <c r="O99" s="95"/>
      <c r="P99" s="59"/>
      <c r="Q99" s="59"/>
      <c r="R99" s="59"/>
      <c r="S99" s="97"/>
      <c r="T99" s="59"/>
      <c r="U99" s="98"/>
      <c r="V99" s="99"/>
      <c r="W99" s="98"/>
      <c r="X99" s="99"/>
      <c r="Y99" s="98"/>
      <c r="Z99" s="99"/>
      <c r="AA99" s="59"/>
      <c r="AB99" s="59"/>
      <c r="AC99" s="59"/>
      <c r="AD99" s="59"/>
      <c r="AE99" s="100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 t="s">
        <v>437</v>
      </c>
      <c r="DW99" s="59" t="s">
        <v>284</v>
      </c>
      <c r="DX99" s="59" t="s">
        <v>285</v>
      </c>
      <c r="DY99" s="59" t="s">
        <v>438</v>
      </c>
      <c r="DZ99" s="59" t="s">
        <v>439</v>
      </c>
      <c r="EA99" s="59">
        <v>660</v>
      </c>
      <c r="EB99" s="59">
        <v>2538</v>
      </c>
      <c r="EC99" s="59" t="s">
        <v>185</v>
      </c>
      <c r="ED99" s="59">
        <v>0.144</v>
      </c>
      <c r="EE99" s="99">
        <v>0.48</v>
      </c>
      <c r="EF99" s="59">
        <v>0.299</v>
      </c>
      <c r="EG99" s="196">
        <v>1.5</v>
      </c>
      <c r="EH99" s="59" t="s">
        <v>399</v>
      </c>
      <c r="EI99" s="103">
        <v>0.6</v>
      </c>
      <c r="EJ99" s="103">
        <v>0.6</v>
      </c>
      <c r="EK99" s="59">
        <v>0.018</v>
      </c>
      <c r="EL99" s="59">
        <v>0.235</v>
      </c>
      <c r="EM99" s="59">
        <v>0.06</v>
      </c>
      <c r="EN99" s="59">
        <v>0.55</v>
      </c>
      <c r="EO99" s="103">
        <f t="shared" si="5"/>
        <v>-0.04999999999999993</v>
      </c>
      <c r="EP99" s="59">
        <v>0.15</v>
      </c>
      <c r="EQ99" s="59"/>
      <c r="ER99" s="59"/>
      <c r="ES99" s="59" t="s">
        <v>405</v>
      </c>
      <c r="ET99" s="103">
        <v>5</v>
      </c>
      <c r="EU99" s="59"/>
      <c r="EV99" s="103">
        <v>5</v>
      </c>
      <c r="EW99" s="103">
        <v>15</v>
      </c>
      <c r="EX99" s="103">
        <v>15</v>
      </c>
      <c r="EY99" s="59">
        <v>203.346</v>
      </c>
      <c r="EZ99" s="168">
        <v>202.9</v>
      </c>
      <c r="FA99" s="167">
        <v>1.2</v>
      </c>
      <c r="FB99" s="167">
        <v>1.2</v>
      </c>
      <c r="FC99" s="167" t="s">
        <v>400</v>
      </c>
      <c r="FD99" s="167" t="s">
        <v>400</v>
      </c>
      <c r="FE99" s="167" t="s">
        <v>400</v>
      </c>
      <c r="FF99" s="167" t="s">
        <v>400</v>
      </c>
      <c r="FG99" s="167" t="s">
        <v>400</v>
      </c>
      <c r="FH99" s="167" t="s">
        <v>400</v>
      </c>
      <c r="FI99" s="167" t="s">
        <v>400</v>
      </c>
      <c r="FJ99" s="167" t="s">
        <v>400</v>
      </c>
      <c r="FK99" s="167" t="s">
        <v>400</v>
      </c>
      <c r="FL99" s="167" t="s">
        <v>400</v>
      </c>
      <c r="FM99" s="167" t="s">
        <v>400</v>
      </c>
      <c r="FN99" s="167" t="s">
        <v>400</v>
      </c>
      <c r="FO99" s="167" t="s">
        <v>400</v>
      </c>
      <c r="FP99" s="167" t="s">
        <v>400</v>
      </c>
      <c r="FQ99" s="167" t="s">
        <v>400</v>
      </c>
      <c r="FR99" s="167">
        <v>2</v>
      </c>
      <c r="FS99" s="167" t="s">
        <v>400</v>
      </c>
      <c r="FT99" s="167"/>
      <c r="FU99" s="59"/>
      <c r="FV99" s="59"/>
      <c r="FW99" s="59"/>
      <c r="FX99" s="59"/>
      <c r="FY99" s="59"/>
      <c r="FZ99" s="59"/>
      <c r="GA99" s="59"/>
      <c r="GB99" s="59"/>
      <c r="GC99" s="59"/>
      <c r="GD99" s="59"/>
      <c r="GE99" s="59"/>
      <c r="GF99" s="59"/>
      <c r="GG99" s="59"/>
      <c r="GH99" s="59"/>
      <c r="GI99" s="59"/>
      <c r="GJ99" s="59"/>
      <c r="GK99" s="59"/>
      <c r="GL99" s="59"/>
      <c r="GM99" s="59"/>
      <c r="GN99" s="59"/>
      <c r="GO99" s="59"/>
      <c r="GP99" s="59"/>
      <c r="GQ99" s="59"/>
      <c r="GR99" s="59"/>
      <c r="GS99" s="59"/>
      <c r="GT99" s="59"/>
    </row>
    <row r="100" spans="1:202" ht="27" customHeight="1">
      <c r="A100" s="92"/>
      <c r="B100" s="93"/>
      <c r="C100" s="94"/>
      <c r="D100" s="94"/>
      <c r="E100" s="94"/>
      <c r="F100" s="95"/>
      <c r="G100" s="96"/>
      <c r="H100" s="96"/>
      <c r="I100" s="59"/>
      <c r="J100" s="59"/>
      <c r="K100" s="95"/>
      <c r="L100" s="95"/>
      <c r="M100" s="59"/>
      <c r="N100" s="59"/>
      <c r="O100" s="95"/>
      <c r="P100" s="59"/>
      <c r="Q100" s="59"/>
      <c r="R100" s="59"/>
      <c r="S100" s="97"/>
      <c r="T100" s="59"/>
      <c r="U100" s="98"/>
      <c r="V100" s="99"/>
      <c r="W100" s="98"/>
      <c r="X100" s="99"/>
      <c r="Y100" s="98"/>
      <c r="Z100" s="99"/>
      <c r="AA100" s="59"/>
      <c r="AB100" s="59"/>
      <c r="AC100" s="59"/>
      <c r="AD100" s="59"/>
      <c r="AE100" s="100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 t="s">
        <v>437</v>
      </c>
      <c r="DW100" s="59" t="s">
        <v>17</v>
      </c>
      <c r="DX100" s="59" t="s">
        <v>285</v>
      </c>
      <c r="DY100" s="59" t="s">
        <v>439</v>
      </c>
      <c r="DZ100" s="59" t="s">
        <v>440</v>
      </c>
      <c r="EA100" s="59">
        <v>220</v>
      </c>
      <c r="EB100" s="59">
        <v>2538</v>
      </c>
      <c r="EC100" s="59" t="s">
        <v>185</v>
      </c>
      <c r="ED100" s="59">
        <v>0.141</v>
      </c>
      <c r="EE100" s="99">
        <v>0.52</v>
      </c>
      <c r="EF100" s="59">
        <v>0.272</v>
      </c>
      <c r="EG100" s="196">
        <v>1.3</v>
      </c>
      <c r="EH100" s="59" t="s">
        <v>399</v>
      </c>
      <c r="EI100" s="103">
        <v>0.6</v>
      </c>
      <c r="EJ100" s="103">
        <v>0.5</v>
      </c>
      <c r="EK100" s="59">
        <v>0.025</v>
      </c>
      <c r="EL100" s="59">
        <v>0.227</v>
      </c>
      <c r="EM100" s="59" t="s">
        <v>400</v>
      </c>
      <c r="EN100" s="59" t="s">
        <v>400</v>
      </c>
      <c r="EO100" s="103">
        <v>0</v>
      </c>
      <c r="EP100" s="59">
        <v>0.15</v>
      </c>
      <c r="EQ100" s="59"/>
      <c r="ER100" s="59"/>
      <c r="ES100" s="59" t="s">
        <v>405</v>
      </c>
      <c r="ET100" s="59" t="s">
        <v>400</v>
      </c>
      <c r="EU100" s="59"/>
      <c r="EV100" s="59" t="s">
        <v>400</v>
      </c>
      <c r="EW100" s="103">
        <v>10</v>
      </c>
      <c r="EX100" s="103">
        <v>10</v>
      </c>
      <c r="EY100" s="59">
        <v>203.214</v>
      </c>
      <c r="EZ100" s="168">
        <v>202.45</v>
      </c>
      <c r="FA100" s="167">
        <v>1.2</v>
      </c>
      <c r="FB100" s="167">
        <v>1.2</v>
      </c>
      <c r="FC100" s="167" t="s">
        <v>400</v>
      </c>
      <c r="FD100" s="167" t="s">
        <v>400</v>
      </c>
      <c r="FE100" s="167" t="s">
        <v>400</v>
      </c>
      <c r="FF100" s="167" t="s">
        <v>400</v>
      </c>
      <c r="FG100" s="167" t="s">
        <v>400</v>
      </c>
      <c r="FH100" s="167" t="s">
        <v>400</v>
      </c>
      <c r="FI100" s="167" t="s">
        <v>400</v>
      </c>
      <c r="FJ100" s="167" t="s">
        <v>400</v>
      </c>
      <c r="FK100" s="167" t="s">
        <v>400</v>
      </c>
      <c r="FL100" s="167" t="s">
        <v>400</v>
      </c>
      <c r="FM100" s="167" t="s">
        <v>400</v>
      </c>
      <c r="FN100" s="167">
        <v>1</v>
      </c>
      <c r="FO100" s="167" t="s">
        <v>400</v>
      </c>
      <c r="FP100" s="167" t="s">
        <v>400</v>
      </c>
      <c r="FQ100" s="167" t="s">
        <v>400</v>
      </c>
      <c r="FR100" s="167" t="s">
        <v>400</v>
      </c>
      <c r="FS100" s="167">
        <v>1</v>
      </c>
      <c r="FT100" s="167"/>
      <c r="FU100" s="59"/>
      <c r="FV100" s="59"/>
      <c r="FW100" s="59"/>
      <c r="FX100" s="59"/>
      <c r="FY100" s="59"/>
      <c r="FZ100" s="59"/>
      <c r="GA100" s="59"/>
      <c r="GB100" s="59"/>
      <c r="GC100" s="59"/>
      <c r="GD100" s="59"/>
      <c r="GE100" s="59"/>
      <c r="GF100" s="59"/>
      <c r="GG100" s="59"/>
      <c r="GH100" s="59"/>
      <c r="GI100" s="59"/>
      <c r="GJ100" s="59"/>
      <c r="GK100" s="59"/>
      <c r="GL100" s="59"/>
      <c r="GM100" s="59"/>
      <c r="GN100" s="59"/>
      <c r="GO100" s="59"/>
      <c r="GP100" s="59"/>
      <c r="GQ100" s="59"/>
      <c r="GR100" s="59"/>
      <c r="GS100" s="59"/>
      <c r="GT100" s="59"/>
    </row>
    <row r="101" spans="1:202" ht="27" customHeight="1">
      <c r="A101" s="92"/>
      <c r="B101" s="93"/>
      <c r="C101" s="94"/>
      <c r="D101" s="94"/>
      <c r="E101" s="94"/>
      <c r="F101" s="95"/>
      <c r="G101" s="96"/>
      <c r="H101" s="96"/>
      <c r="I101" s="59"/>
      <c r="J101" s="59"/>
      <c r="K101" s="95"/>
      <c r="L101" s="95"/>
      <c r="M101" s="59"/>
      <c r="N101" s="59"/>
      <c r="O101" s="95"/>
      <c r="P101" s="59"/>
      <c r="Q101" s="59"/>
      <c r="R101" s="59"/>
      <c r="S101" s="97"/>
      <c r="T101" s="59"/>
      <c r="U101" s="98"/>
      <c r="V101" s="99"/>
      <c r="W101" s="98"/>
      <c r="X101" s="99"/>
      <c r="Y101" s="98"/>
      <c r="Z101" s="99"/>
      <c r="AA101" s="59"/>
      <c r="AB101" s="59"/>
      <c r="AC101" s="59"/>
      <c r="AD101" s="59"/>
      <c r="AE101" s="100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 t="s">
        <v>441</v>
      </c>
      <c r="DW101" s="59" t="s">
        <v>284</v>
      </c>
      <c r="DX101" s="59" t="s">
        <v>285</v>
      </c>
      <c r="DY101" s="59" t="s">
        <v>286</v>
      </c>
      <c r="DZ101" s="59" t="s">
        <v>442</v>
      </c>
      <c r="EA101" s="99">
        <v>3.05</v>
      </c>
      <c r="EB101" s="59">
        <v>2538</v>
      </c>
      <c r="EC101" s="59" t="s">
        <v>185</v>
      </c>
      <c r="ED101" s="59">
        <v>1.161</v>
      </c>
      <c r="EE101" s="59">
        <v>2.295</v>
      </c>
      <c r="EF101" s="59">
        <v>0.506</v>
      </c>
      <c r="EG101" s="196">
        <v>1.5</v>
      </c>
      <c r="EH101" s="59" t="s">
        <v>399</v>
      </c>
      <c r="EI101" s="103">
        <v>1.2</v>
      </c>
      <c r="EJ101" s="103">
        <v>0.9</v>
      </c>
      <c r="EK101" s="59">
        <v>0.018</v>
      </c>
      <c r="EL101" s="59">
        <v>0.516</v>
      </c>
      <c r="EM101" s="59">
        <v>0.06</v>
      </c>
      <c r="EN101" s="103">
        <v>1.1</v>
      </c>
      <c r="EO101" s="103">
        <f aca="true" t="shared" si="6" ref="EO100:EO116">+EN101-EJ101</f>
        <v>0.20000000000000007</v>
      </c>
      <c r="EP101" s="59">
        <v>0.15</v>
      </c>
      <c r="EQ101" s="59"/>
      <c r="ER101" s="59"/>
      <c r="ES101" s="59" t="s">
        <v>405</v>
      </c>
      <c r="ET101" s="103">
        <v>5</v>
      </c>
      <c r="EU101" s="59"/>
      <c r="EV101" s="103">
        <v>2</v>
      </c>
      <c r="EW101" s="103">
        <v>15</v>
      </c>
      <c r="EX101" s="103">
        <v>15</v>
      </c>
      <c r="EY101" s="59">
        <v>227.146</v>
      </c>
      <c r="EZ101" s="167">
        <v>227.146</v>
      </c>
      <c r="FA101" s="167">
        <v>1.2</v>
      </c>
      <c r="FB101" s="167">
        <v>1.2</v>
      </c>
      <c r="FC101" s="167" t="s">
        <v>400</v>
      </c>
      <c r="FD101" s="167" t="s">
        <v>400</v>
      </c>
      <c r="FE101" s="167">
        <v>1</v>
      </c>
      <c r="FF101" s="167" t="s">
        <v>400</v>
      </c>
      <c r="FG101" s="167">
        <v>2</v>
      </c>
      <c r="FH101" s="167" t="s">
        <v>400</v>
      </c>
      <c r="FI101" s="167" t="s">
        <v>400</v>
      </c>
      <c r="FJ101" s="167">
        <v>1</v>
      </c>
      <c r="FK101" s="167">
        <v>2</v>
      </c>
      <c r="FL101" s="167" t="s">
        <v>400</v>
      </c>
      <c r="FM101" s="167" t="s">
        <v>400</v>
      </c>
      <c r="FN101" s="167" t="s">
        <v>400</v>
      </c>
      <c r="FO101" s="167" t="s">
        <v>400</v>
      </c>
      <c r="FP101" s="167" t="s">
        <v>400</v>
      </c>
      <c r="FQ101" s="167" t="s">
        <v>400</v>
      </c>
      <c r="FR101" s="167">
        <v>9</v>
      </c>
      <c r="FS101" s="167" t="s">
        <v>400</v>
      </c>
      <c r="FT101" s="167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</row>
    <row r="102" spans="1:202" ht="27" customHeight="1">
      <c r="A102" s="92"/>
      <c r="B102" s="93"/>
      <c r="C102" s="94"/>
      <c r="D102" s="94"/>
      <c r="E102" s="94"/>
      <c r="F102" s="95"/>
      <c r="G102" s="96"/>
      <c r="H102" s="96"/>
      <c r="I102" s="59"/>
      <c r="J102" s="59"/>
      <c r="K102" s="95"/>
      <c r="L102" s="95"/>
      <c r="M102" s="59"/>
      <c r="N102" s="59"/>
      <c r="O102" s="95"/>
      <c r="P102" s="59"/>
      <c r="Q102" s="59"/>
      <c r="R102" s="59"/>
      <c r="S102" s="97"/>
      <c r="T102" s="59"/>
      <c r="U102" s="98"/>
      <c r="V102" s="99"/>
      <c r="W102" s="98"/>
      <c r="X102" s="99"/>
      <c r="Y102" s="98"/>
      <c r="Z102" s="99"/>
      <c r="AA102" s="59"/>
      <c r="AB102" s="59"/>
      <c r="AC102" s="59"/>
      <c r="AD102" s="59"/>
      <c r="AE102" s="100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 t="s">
        <v>441</v>
      </c>
      <c r="DW102" s="59" t="s">
        <v>284</v>
      </c>
      <c r="DX102" s="59" t="s">
        <v>285</v>
      </c>
      <c r="DY102" s="59" t="s">
        <v>442</v>
      </c>
      <c r="DZ102" s="59" t="s">
        <v>443</v>
      </c>
      <c r="EA102" s="59">
        <v>950</v>
      </c>
      <c r="EB102" s="59">
        <v>2538</v>
      </c>
      <c r="EC102" s="59" t="s">
        <v>185</v>
      </c>
      <c r="ED102" s="59">
        <v>0.394</v>
      </c>
      <c r="EE102" s="99">
        <v>1.02</v>
      </c>
      <c r="EF102" s="59">
        <v>0.386</v>
      </c>
      <c r="EG102" s="196">
        <v>1.5</v>
      </c>
      <c r="EH102" s="59" t="s">
        <v>399</v>
      </c>
      <c r="EI102" s="103">
        <v>0.8</v>
      </c>
      <c r="EJ102" s="103">
        <v>0.6</v>
      </c>
      <c r="EK102" s="59">
        <v>0.018</v>
      </c>
      <c r="EL102" s="59">
        <v>0.344</v>
      </c>
      <c r="EM102" s="59">
        <v>0.06</v>
      </c>
      <c r="EN102" s="59">
        <v>0.75</v>
      </c>
      <c r="EO102" s="103">
        <f t="shared" si="6"/>
        <v>0.15000000000000002</v>
      </c>
      <c r="EP102" s="59">
        <v>0.15</v>
      </c>
      <c r="EQ102" s="59"/>
      <c r="ER102" s="59"/>
      <c r="ES102" s="59" t="s">
        <v>405</v>
      </c>
      <c r="ET102" s="103">
        <v>5</v>
      </c>
      <c r="EU102" s="59"/>
      <c r="EV102" s="103">
        <v>2</v>
      </c>
      <c r="EW102" s="103">
        <v>15</v>
      </c>
      <c r="EX102" s="103">
        <v>15</v>
      </c>
      <c r="EY102" s="59">
        <v>223.236</v>
      </c>
      <c r="EZ102" s="168">
        <v>224.2</v>
      </c>
      <c r="FA102" s="167">
        <v>1.2</v>
      </c>
      <c r="FB102" s="167">
        <v>1.2</v>
      </c>
      <c r="FC102" s="167" t="s">
        <v>400</v>
      </c>
      <c r="FD102" s="167" t="s">
        <v>400</v>
      </c>
      <c r="FE102" s="167" t="s">
        <v>400</v>
      </c>
      <c r="FF102" s="167" t="s">
        <v>400</v>
      </c>
      <c r="FG102" s="167" t="s">
        <v>400</v>
      </c>
      <c r="FH102" s="167" t="s">
        <v>400</v>
      </c>
      <c r="FI102" s="171">
        <v>2</v>
      </c>
      <c r="FJ102" s="167" t="s">
        <v>400</v>
      </c>
      <c r="FK102" s="167" t="s">
        <v>400</v>
      </c>
      <c r="FL102" s="167" t="s">
        <v>400</v>
      </c>
      <c r="FM102" s="167" t="s">
        <v>400</v>
      </c>
      <c r="FN102" s="167" t="s">
        <v>400</v>
      </c>
      <c r="FO102" s="167" t="s">
        <v>400</v>
      </c>
      <c r="FP102" s="167" t="s">
        <v>400</v>
      </c>
      <c r="FQ102" s="167" t="s">
        <v>400</v>
      </c>
      <c r="FR102" s="167">
        <v>5</v>
      </c>
      <c r="FS102" s="167" t="s">
        <v>400</v>
      </c>
      <c r="FT102" s="167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</row>
    <row r="103" spans="1:202" ht="27" customHeight="1">
      <c r="A103" s="92"/>
      <c r="B103" s="93"/>
      <c r="C103" s="94"/>
      <c r="D103" s="94"/>
      <c r="E103" s="94"/>
      <c r="F103" s="95"/>
      <c r="G103" s="96"/>
      <c r="H103" s="96"/>
      <c r="I103" s="59"/>
      <c r="J103" s="59"/>
      <c r="K103" s="95"/>
      <c r="L103" s="95"/>
      <c r="M103" s="59"/>
      <c r="N103" s="59"/>
      <c r="O103" s="95"/>
      <c r="P103" s="59"/>
      <c r="Q103" s="59"/>
      <c r="R103" s="59"/>
      <c r="S103" s="97"/>
      <c r="T103" s="59"/>
      <c r="U103" s="98"/>
      <c r="V103" s="99"/>
      <c r="W103" s="98"/>
      <c r="X103" s="99"/>
      <c r="Y103" s="98"/>
      <c r="Z103" s="99"/>
      <c r="AA103" s="59"/>
      <c r="AB103" s="59"/>
      <c r="AC103" s="59"/>
      <c r="AD103" s="59"/>
      <c r="AE103" s="100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 t="s">
        <v>441</v>
      </c>
      <c r="DW103" s="59" t="s">
        <v>17</v>
      </c>
      <c r="DX103" s="59" t="s">
        <v>285</v>
      </c>
      <c r="DY103" s="59" t="s">
        <v>443</v>
      </c>
      <c r="DZ103" s="59" t="s">
        <v>444</v>
      </c>
      <c r="EA103" s="59">
        <v>80</v>
      </c>
      <c r="EB103" s="59">
        <v>2538</v>
      </c>
      <c r="EC103" s="59" t="s">
        <v>185</v>
      </c>
      <c r="ED103" s="59">
        <v>0.155</v>
      </c>
      <c r="EE103" s="99">
        <v>0.56</v>
      </c>
      <c r="EF103" s="59">
        <v>0.277</v>
      </c>
      <c r="EG103" s="196">
        <v>1.3</v>
      </c>
      <c r="EH103" s="59" t="s">
        <v>399</v>
      </c>
      <c r="EI103" s="103">
        <v>0.6</v>
      </c>
      <c r="EJ103" s="103">
        <v>0.4</v>
      </c>
      <c r="EK103" s="59">
        <v>0.025</v>
      </c>
      <c r="EL103" s="59">
        <v>0.234</v>
      </c>
      <c r="EM103" s="59" t="s">
        <v>400</v>
      </c>
      <c r="EN103" s="59" t="s">
        <v>400</v>
      </c>
      <c r="EO103" s="103">
        <v>0</v>
      </c>
      <c r="EP103" s="59">
        <v>0.15</v>
      </c>
      <c r="EQ103" s="59"/>
      <c r="ER103" s="59"/>
      <c r="ES103" s="59" t="s">
        <v>405</v>
      </c>
      <c r="ET103" s="59" t="s">
        <v>400</v>
      </c>
      <c r="EU103" s="59"/>
      <c r="EV103" s="59" t="s">
        <v>400</v>
      </c>
      <c r="EW103" s="103">
        <v>10</v>
      </c>
      <c r="EX103" s="103">
        <v>10</v>
      </c>
      <c r="EY103" s="59">
        <v>217.046</v>
      </c>
      <c r="EZ103" s="168">
        <v>215.65</v>
      </c>
      <c r="FA103" s="167">
        <v>1.2</v>
      </c>
      <c r="FB103" s="167">
        <v>1.2</v>
      </c>
      <c r="FC103" s="167" t="s">
        <v>400</v>
      </c>
      <c r="FD103" s="167" t="s">
        <v>400</v>
      </c>
      <c r="FE103" s="167" t="s">
        <v>400</v>
      </c>
      <c r="FF103" s="167" t="s">
        <v>400</v>
      </c>
      <c r="FG103" s="167" t="s">
        <v>400</v>
      </c>
      <c r="FH103" s="167" t="s">
        <v>400</v>
      </c>
      <c r="FI103" s="167" t="s">
        <v>400</v>
      </c>
      <c r="FJ103" s="167" t="s">
        <v>400</v>
      </c>
      <c r="FK103" s="167" t="s">
        <v>400</v>
      </c>
      <c r="FL103" s="167" t="s">
        <v>400</v>
      </c>
      <c r="FM103" s="167" t="s">
        <v>400</v>
      </c>
      <c r="FN103" s="167" t="s">
        <v>400</v>
      </c>
      <c r="FO103" s="167" t="s">
        <v>400</v>
      </c>
      <c r="FP103" s="167" t="s">
        <v>400</v>
      </c>
      <c r="FQ103" s="167" t="s">
        <v>400</v>
      </c>
      <c r="FR103" s="167" t="s">
        <v>400</v>
      </c>
      <c r="FS103" s="167" t="s">
        <v>400</v>
      </c>
      <c r="FT103" s="167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9"/>
      <c r="GR103" s="59"/>
      <c r="GS103" s="59"/>
      <c r="GT103" s="59"/>
    </row>
    <row r="104" spans="1:202" ht="27" customHeight="1">
      <c r="A104" s="92"/>
      <c r="B104" s="93"/>
      <c r="C104" s="94"/>
      <c r="D104" s="94"/>
      <c r="E104" s="94"/>
      <c r="F104" s="95"/>
      <c r="G104" s="96"/>
      <c r="H104" s="96"/>
      <c r="I104" s="59"/>
      <c r="J104" s="59"/>
      <c r="K104" s="95"/>
      <c r="L104" s="95"/>
      <c r="M104" s="59"/>
      <c r="N104" s="59"/>
      <c r="O104" s="95"/>
      <c r="P104" s="59"/>
      <c r="Q104" s="59"/>
      <c r="R104" s="59"/>
      <c r="S104" s="97"/>
      <c r="T104" s="59"/>
      <c r="U104" s="98"/>
      <c r="V104" s="99"/>
      <c r="W104" s="98"/>
      <c r="X104" s="99"/>
      <c r="Y104" s="98"/>
      <c r="Z104" s="99"/>
      <c r="AA104" s="59"/>
      <c r="AB104" s="59"/>
      <c r="AC104" s="59"/>
      <c r="AD104" s="59"/>
      <c r="AE104" s="100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 t="s">
        <v>445</v>
      </c>
      <c r="DW104" s="59" t="s">
        <v>284</v>
      </c>
      <c r="DX104" s="59" t="s">
        <v>285</v>
      </c>
      <c r="DY104" s="59" t="s">
        <v>286</v>
      </c>
      <c r="DZ104" s="59" t="s">
        <v>446</v>
      </c>
      <c r="EA104" s="99">
        <v>1.95</v>
      </c>
      <c r="EB104" s="59">
        <v>2538</v>
      </c>
      <c r="EC104" s="59" t="s">
        <v>185</v>
      </c>
      <c r="ED104" s="59">
        <v>0.384</v>
      </c>
      <c r="EE104" s="59">
        <v>0.998</v>
      </c>
      <c r="EF104" s="59">
        <v>0.385</v>
      </c>
      <c r="EG104" s="196">
        <v>1.5</v>
      </c>
      <c r="EH104" s="59" t="s">
        <v>399</v>
      </c>
      <c r="EI104" s="103">
        <v>0.6</v>
      </c>
      <c r="EJ104" s="59">
        <v>0.64</v>
      </c>
      <c r="EK104" s="59">
        <v>0.018</v>
      </c>
      <c r="EL104" s="59">
        <v>0.343</v>
      </c>
      <c r="EM104" s="59">
        <v>0.06</v>
      </c>
      <c r="EN104" s="103">
        <v>0.8</v>
      </c>
      <c r="EO104" s="103">
        <f t="shared" si="6"/>
        <v>0.16000000000000003</v>
      </c>
      <c r="EP104" s="59">
        <v>0.15</v>
      </c>
      <c r="EQ104" s="59"/>
      <c r="ER104" s="59"/>
      <c r="ES104" s="59" t="s">
        <v>405</v>
      </c>
      <c r="ET104" s="103">
        <v>5</v>
      </c>
      <c r="EU104" s="59"/>
      <c r="EV104" s="103">
        <v>5</v>
      </c>
      <c r="EW104" s="103">
        <v>15</v>
      </c>
      <c r="EX104" s="103">
        <v>15</v>
      </c>
      <c r="EY104" s="59">
        <v>214.299</v>
      </c>
      <c r="EZ104" s="168">
        <v>215.2</v>
      </c>
      <c r="FA104" s="167">
        <v>1.2</v>
      </c>
      <c r="FB104" s="167">
        <v>1.2</v>
      </c>
      <c r="FC104" s="167" t="s">
        <v>400</v>
      </c>
      <c r="FD104" s="167" t="s">
        <v>400</v>
      </c>
      <c r="FE104" s="167" t="s">
        <v>400</v>
      </c>
      <c r="FF104" s="167" t="s">
        <v>400</v>
      </c>
      <c r="FG104" s="167">
        <v>2</v>
      </c>
      <c r="FH104" s="167" t="s">
        <v>400</v>
      </c>
      <c r="FI104" s="167" t="s">
        <v>400</v>
      </c>
      <c r="FJ104" s="167" t="s">
        <v>400</v>
      </c>
      <c r="FK104" s="167">
        <v>1</v>
      </c>
      <c r="FL104" s="167" t="s">
        <v>400</v>
      </c>
      <c r="FM104" s="167" t="s">
        <v>400</v>
      </c>
      <c r="FN104" s="167" t="s">
        <v>400</v>
      </c>
      <c r="FO104" s="167" t="s">
        <v>400</v>
      </c>
      <c r="FP104" s="167" t="s">
        <v>400</v>
      </c>
      <c r="FQ104" s="167" t="s">
        <v>400</v>
      </c>
      <c r="FR104" s="167">
        <v>8</v>
      </c>
      <c r="FS104" s="167" t="s">
        <v>400</v>
      </c>
      <c r="FT104" s="167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  <c r="GO104" s="59"/>
      <c r="GP104" s="59"/>
      <c r="GQ104" s="59"/>
      <c r="GR104" s="59"/>
      <c r="GS104" s="59"/>
      <c r="GT104" s="59"/>
    </row>
    <row r="105" spans="1:202" ht="27" customHeight="1">
      <c r="A105" s="92"/>
      <c r="B105" s="93"/>
      <c r="C105" s="94"/>
      <c r="D105" s="94"/>
      <c r="E105" s="94"/>
      <c r="F105" s="95"/>
      <c r="G105" s="96"/>
      <c r="H105" s="96"/>
      <c r="I105" s="59"/>
      <c r="J105" s="59"/>
      <c r="K105" s="95"/>
      <c r="L105" s="95"/>
      <c r="M105" s="59"/>
      <c r="N105" s="59"/>
      <c r="O105" s="95"/>
      <c r="P105" s="59"/>
      <c r="Q105" s="59"/>
      <c r="R105" s="59"/>
      <c r="S105" s="97"/>
      <c r="T105" s="59"/>
      <c r="U105" s="98"/>
      <c r="V105" s="99"/>
      <c r="W105" s="98"/>
      <c r="X105" s="99"/>
      <c r="Y105" s="98"/>
      <c r="Z105" s="99"/>
      <c r="AA105" s="59"/>
      <c r="AB105" s="59"/>
      <c r="AC105" s="59"/>
      <c r="AD105" s="59"/>
      <c r="AE105" s="100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 t="s">
        <v>445</v>
      </c>
      <c r="DW105" s="59" t="s">
        <v>17</v>
      </c>
      <c r="DX105" s="59" t="s">
        <v>285</v>
      </c>
      <c r="DY105" s="59" t="s">
        <v>446</v>
      </c>
      <c r="DZ105" s="59" t="s">
        <v>447</v>
      </c>
      <c r="EA105" s="59">
        <v>690</v>
      </c>
      <c r="EB105" s="59">
        <v>2538</v>
      </c>
      <c r="EC105" s="59" t="s">
        <v>185</v>
      </c>
      <c r="ED105" s="59">
        <v>0.135</v>
      </c>
      <c r="EE105" s="59">
        <v>0.625</v>
      </c>
      <c r="EF105" s="59">
        <v>0.216</v>
      </c>
      <c r="EG105" s="196">
        <v>1.6</v>
      </c>
      <c r="EH105" s="59" t="s">
        <v>399</v>
      </c>
      <c r="EI105" s="103">
        <v>0.5</v>
      </c>
      <c r="EJ105" s="103">
        <v>0.5</v>
      </c>
      <c r="EK105" s="59">
        <v>0.025</v>
      </c>
      <c r="EL105" s="59">
        <v>0.271</v>
      </c>
      <c r="EM105" s="59" t="s">
        <v>400</v>
      </c>
      <c r="EN105" s="59" t="s">
        <v>400</v>
      </c>
      <c r="EO105" s="103">
        <v>0</v>
      </c>
      <c r="EP105" s="59">
        <v>0.15</v>
      </c>
      <c r="EQ105" s="59"/>
      <c r="ER105" s="59"/>
      <c r="ES105" s="59" t="s">
        <v>405</v>
      </c>
      <c r="ET105" s="103">
        <v>2</v>
      </c>
      <c r="EU105" s="59"/>
      <c r="EV105" s="103">
        <v>2</v>
      </c>
      <c r="EW105" s="103">
        <v>15</v>
      </c>
      <c r="EX105" s="103">
        <v>15</v>
      </c>
      <c r="EY105" s="59">
        <v>211.909</v>
      </c>
      <c r="EZ105" s="168">
        <v>210</v>
      </c>
      <c r="FA105" s="167">
        <v>1.2</v>
      </c>
      <c r="FB105" s="167">
        <v>1.2</v>
      </c>
      <c r="FC105" s="167" t="s">
        <v>400</v>
      </c>
      <c r="FD105" s="167" t="s">
        <v>400</v>
      </c>
      <c r="FE105" s="167" t="s">
        <v>400</v>
      </c>
      <c r="FF105" s="167" t="s">
        <v>400</v>
      </c>
      <c r="FG105" s="167" t="s">
        <v>400</v>
      </c>
      <c r="FH105" s="167" t="s">
        <v>400</v>
      </c>
      <c r="FI105" s="167" t="s">
        <v>400</v>
      </c>
      <c r="FJ105" s="167" t="s">
        <v>400</v>
      </c>
      <c r="FK105" s="167" t="s">
        <v>400</v>
      </c>
      <c r="FL105" s="167" t="s">
        <v>400</v>
      </c>
      <c r="FM105" s="167" t="s">
        <v>400</v>
      </c>
      <c r="FN105" s="167" t="s">
        <v>400</v>
      </c>
      <c r="FO105" s="167" t="s">
        <v>400</v>
      </c>
      <c r="FP105" s="167" t="s">
        <v>400</v>
      </c>
      <c r="FQ105" s="167" t="s">
        <v>400</v>
      </c>
      <c r="FR105" s="167" t="s">
        <v>400</v>
      </c>
      <c r="FS105" s="167" t="s">
        <v>400</v>
      </c>
      <c r="FT105" s="167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  <c r="GO105" s="59"/>
      <c r="GP105" s="59"/>
      <c r="GQ105" s="59"/>
      <c r="GR105" s="59"/>
      <c r="GS105" s="59"/>
      <c r="GT105" s="59"/>
    </row>
    <row r="106" spans="1:202" ht="27" customHeight="1">
      <c r="A106" s="92"/>
      <c r="B106" s="93"/>
      <c r="C106" s="94"/>
      <c r="D106" s="94"/>
      <c r="E106" s="94"/>
      <c r="F106" s="95"/>
      <c r="G106" s="96"/>
      <c r="H106" s="96"/>
      <c r="I106" s="59"/>
      <c r="J106" s="59"/>
      <c r="K106" s="95"/>
      <c r="L106" s="95"/>
      <c r="M106" s="59"/>
      <c r="N106" s="59"/>
      <c r="O106" s="95"/>
      <c r="P106" s="59"/>
      <c r="Q106" s="59"/>
      <c r="R106" s="59"/>
      <c r="S106" s="97"/>
      <c r="T106" s="59"/>
      <c r="U106" s="98"/>
      <c r="V106" s="99"/>
      <c r="W106" s="98"/>
      <c r="X106" s="99"/>
      <c r="Y106" s="98"/>
      <c r="Z106" s="99"/>
      <c r="AA106" s="59"/>
      <c r="AB106" s="59"/>
      <c r="AC106" s="59"/>
      <c r="AD106" s="59"/>
      <c r="AE106" s="100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 t="s">
        <v>448</v>
      </c>
      <c r="DW106" s="59" t="s">
        <v>284</v>
      </c>
      <c r="DX106" s="59" t="s">
        <v>285</v>
      </c>
      <c r="DY106" s="59" t="s">
        <v>286</v>
      </c>
      <c r="DZ106" s="59" t="s">
        <v>449</v>
      </c>
      <c r="EA106" s="99">
        <v>2.9</v>
      </c>
      <c r="EB106" s="59">
        <v>2538</v>
      </c>
      <c r="EC106" s="59" t="s">
        <v>185</v>
      </c>
      <c r="ED106" s="59">
        <v>1.035</v>
      </c>
      <c r="EE106" s="59">
        <v>2.098</v>
      </c>
      <c r="EF106" s="59">
        <v>0.493</v>
      </c>
      <c r="EG106" s="196">
        <v>1.5</v>
      </c>
      <c r="EH106" s="59" t="s">
        <v>399</v>
      </c>
      <c r="EI106" s="103">
        <v>0.9</v>
      </c>
      <c r="EJ106" s="103">
        <v>0.92</v>
      </c>
      <c r="EK106" s="59">
        <v>0.018</v>
      </c>
      <c r="EL106" s="59">
        <v>0.497</v>
      </c>
      <c r="EM106" s="59">
        <v>0.06</v>
      </c>
      <c r="EN106" s="103">
        <v>1.1</v>
      </c>
      <c r="EO106" s="103">
        <f t="shared" si="6"/>
        <v>0.18000000000000005</v>
      </c>
      <c r="EP106" s="59">
        <v>0.15</v>
      </c>
      <c r="EQ106" s="59"/>
      <c r="ER106" s="59"/>
      <c r="ES106" s="59" t="s">
        <v>405</v>
      </c>
      <c r="ET106" s="103">
        <v>5</v>
      </c>
      <c r="EU106" s="59"/>
      <c r="EV106" s="103">
        <v>5</v>
      </c>
      <c r="EW106" s="103">
        <v>15</v>
      </c>
      <c r="EX106" s="103">
        <v>15</v>
      </c>
      <c r="EY106" s="99">
        <v>214.68</v>
      </c>
      <c r="EZ106" s="168">
        <v>215</v>
      </c>
      <c r="FA106" s="167">
        <v>1.2</v>
      </c>
      <c r="FB106" s="167">
        <v>1.2</v>
      </c>
      <c r="FC106" s="167" t="s">
        <v>400</v>
      </c>
      <c r="FD106" s="167" t="s">
        <v>400</v>
      </c>
      <c r="FE106" s="167">
        <v>1</v>
      </c>
      <c r="FF106" s="167" t="s">
        <v>400</v>
      </c>
      <c r="FG106" s="167">
        <v>3</v>
      </c>
      <c r="FH106" s="167" t="s">
        <v>400</v>
      </c>
      <c r="FI106" s="167" t="s">
        <v>400</v>
      </c>
      <c r="FJ106" s="167" t="s">
        <v>400</v>
      </c>
      <c r="FK106" s="167">
        <v>1</v>
      </c>
      <c r="FL106" s="167" t="s">
        <v>400</v>
      </c>
      <c r="FM106" s="167" t="s">
        <v>400</v>
      </c>
      <c r="FN106" s="167" t="s">
        <v>400</v>
      </c>
      <c r="FO106" s="167" t="s">
        <v>400</v>
      </c>
      <c r="FP106" s="167" t="s">
        <v>400</v>
      </c>
      <c r="FQ106" s="167" t="s">
        <v>400</v>
      </c>
      <c r="FR106" s="167">
        <v>9</v>
      </c>
      <c r="FS106" s="167" t="s">
        <v>400</v>
      </c>
      <c r="FT106" s="167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  <c r="GO106" s="59"/>
      <c r="GP106" s="59"/>
      <c r="GQ106" s="59"/>
      <c r="GR106" s="59"/>
      <c r="GS106" s="59"/>
      <c r="GT106" s="59"/>
    </row>
    <row r="107" spans="1:202" ht="27" customHeight="1">
      <c r="A107" s="92"/>
      <c r="B107" s="93"/>
      <c r="C107" s="94"/>
      <c r="D107" s="94"/>
      <c r="E107" s="94"/>
      <c r="F107" s="95"/>
      <c r="G107" s="96"/>
      <c r="H107" s="96"/>
      <c r="I107" s="59"/>
      <c r="J107" s="59"/>
      <c r="K107" s="95"/>
      <c r="L107" s="95"/>
      <c r="M107" s="59"/>
      <c r="N107" s="59"/>
      <c r="O107" s="95"/>
      <c r="P107" s="59"/>
      <c r="Q107" s="59"/>
      <c r="R107" s="59"/>
      <c r="S107" s="97"/>
      <c r="T107" s="59"/>
      <c r="U107" s="98"/>
      <c r="V107" s="99"/>
      <c r="W107" s="98"/>
      <c r="X107" s="99"/>
      <c r="Y107" s="98"/>
      <c r="Z107" s="99"/>
      <c r="AA107" s="59"/>
      <c r="AB107" s="59"/>
      <c r="AC107" s="59"/>
      <c r="AD107" s="59"/>
      <c r="AE107" s="100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 t="s">
        <v>448</v>
      </c>
      <c r="DW107" s="59" t="s">
        <v>284</v>
      </c>
      <c r="DX107" s="59" t="s">
        <v>285</v>
      </c>
      <c r="DY107" s="59" t="s">
        <v>449</v>
      </c>
      <c r="DZ107" s="59" t="s">
        <v>450</v>
      </c>
      <c r="EA107" s="99">
        <v>2.65</v>
      </c>
      <c r="EB107" s="59">
        <v>2538</v>
      </c>
      <c r="EC107" s="59" t="s">
        <v>185</v>
      </c>
      <c r="ED107" s="59">
        <v>0.528</v>
      </c>
      <c r="EE107" s="59">
        <v>1.267</v>
      </c>
      <c r="EF107" s="99">
        <v>0.47</v>
      </c>
      <c r="EG107" s="196">
        <v>1.5</v>
      </c>
      <c r="EH107" s="59" t="s">
        <v>399</v>
      </c>
      <c r="EI107" s="103">
        <v>0.7</v>
      </c>
      <c r="EJ107" s="59">
        <v>0.72</v>
      </c>
      <c r="EK107" s="59">
        <v>0.018</v>
      </c>
      <c r="EL107" s="59">
        <v>0.387</v>
      </c>
      <c r="EM107" s="59">
        <v>0.06</v>
      </c>
      <c r="EN107" s="103">
        <v>0.9</v>
      </c>
      <c r="EO107" s="103">
        <f t="shared" si="6"/>
        <v>0.18000000000000005</v>
      </c>
      <c r="EP107" s="59">
        <v>0.15</v>
      </c>
      <c r="EQ107" s="59"/>
      <c r="ER107" s="59"/>
      <c r="ES107" s="59" t="s">
        <v>405</v>
      </c>
      <c r="ET107" s="103">
        <v>5</v>
      </c>
      <c r="EU107" s="59"/>
      <c r="EV107" s="103">
        <v>5</v>
      </c>
      <c r="EW107" s="103">
        <v>15</v>
      </c>
      <c r="EX107" s="103">
        <v>15</v>
      </c>
      <c r="EY107" s="59">
        <v>209.105</v>
      </c>
      <c r="EZ107" s="168">
        <v>209.2</v>
      </c>
      <c r="FA107" s="167">
        <v>1.2</v>
      </c>
      <c r="FB107" s="167">
        <v>1.2</v>
      </c>
      <c r="FC107" s="167" t="s">
        <v>400</v>
      </c>
      <c r="FD107" s="167" t="s">
        <v>400</v>
      </c>
      <c r="FE107" s="167" t="s">
        <v>400</v>
      </c>
      <c r="FF107" s="167" t="s">
        <v>400</v>
      </c>
      <c r="FG107" s="167" t="s">
        <v>400</v>
      </c>
      <c r="FH107" s="167" t="s">
        <v>400</v>
      </c>
      <c r="FI107" s="167" t="s">
        <v>400</v>
      </c>
      <c r="FJ107" s="167" t="s">
        <v>400</v>
      </c>
      <c r="FK107" s="167" t="s">
        <v>400</v>
      </c>
      <c r="FL107" s="167" t="s">
        <v>400</v>
      </c>
      <c r="FM107" s="167" t="s">
        <v>400</v>
      </c>
      <c r="FN107" s="167" t="s">
        <v>400</v>
      </c>
      <c r="FO107" s="167" t="s">
        <v>400</v>
      </c>
      <c r="FP107" s="167" t="s">
        <v>400</v>
      </c>
      <c r="FQ107" s="167" t="s">
        <v>400</v>
      </c>
      <c r="FR107" s="167">
        <v>9</v>
      </c>
      <c r="FS107" s="167" t="s">
        <v>400</v>
      </c>
      <c r="FT107" s="167"/>
      <c r="FU107" s="59"/>
      <c r="FV107" s="59"/>
      <c r="FW107" s="59"/>
      <c r="FX107" s="59"/>
      <c r="FY107" s="59"/>
      <c r="FZ107" s="59"/>
      <c r="GA107" s="59"/>
      <c r="GB107" s="59"/>
      <c r="GC107" s="59"/>
      <c r="GD107" s="59"/>
      <c r="GE107" s="59"/>
      <c r="GF107" s="59"/>
      <c r="GG107" s="59"/>
      <c r="GH107" s="59"/>
      <c r="GI107" s="59"/>
      <c r="GJ107" s="59"/>
      <c r="GK107" s="59"/>
      <c r="GL107" s="59"/>
      <c r="GM107" s="59"/>
      <c r="GN107" s="59"/>
      <c r="GO107" s="59"/>
      <c r="GP107" s="59"/>
      <c r="GQ107" s="59"/>
      <c r="GR107" s="59"/>
      <c r="GS107" s="59"/>
      <c r="GT107" s="59"/>
    </row>
    <row r="108" spans="1:202" ht="27" customHeight="1">
      <c r="A108" s="92"/>
      <c r="B108" s="93"/>
      <c r="C108" s="94"/>
      <c r="D108" s="94"/>
      <c r="E108" s="94"/>
      <c r="F108" s="95"/>
      <c r="G108" s="96"/>
      <c r="H108" s="96"/>
      <c r="I108" s="59"/>
      <c r="J108" s="59"/>
      <c r="K108" s="95"/>
      <c r="L108" s="95"/>
      <c r="M108" s="59"/>
      <c r="N108" s="59"/>
      <c r="O108" s="95"/>
      <c r="P108" s="59"/>
      <c r="Q108" s="59"/>
      <c r="R108" s="59"/>
      <c r="S108" s="97"/>
      <c r="T108" s="59"/>
      <c r="U108" s="98"/>
      <c r="V108" s="99"/>
      <c r="W108" s="98"/>
      <c r="X108" s="99"/>
      <c r="Y108" s="98"/>
      <c r="Z108" s="99"/>
      <c r="AA108" s="59"/>
      <c r="AB108" s="59"/>
      <c r="AC108" s="59"/>
      <c r="AD108" s="59"/>
      <c r="AE108" s="100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 t="s">
        <v>448</v>
      </c>
      <c r="DW108" s="59" t="s">
        <v>17</v>
      </c>
      <c r="DX108" s="59" t="s">
        <v>285</v>
      </c>
      <c r="DY108" s="59" t="s">
        <v>450</v>
      </c>
      <c r="DZ108" s="59" t="s">
        <v>451</v>
      </c>
      <c r="EA108" s="59">
        <v>350</v>
      </c>
      <c r="EB108" s="59">
        <v>2538</v>
      </c>
      <c r="EC108" s="59" t="s">
        <v>185</v>
      </c>
      <c r="ED108" s="59">
        <v>0.135</v>
      </c>
      <c r="EE108" s="59">
        <v>0.625</v>
      </c>
      <c r="EF108" s="59">
        <v>0.216</v>
      </c>
      <c r="EG108" s="196">
        <v>1.6</v>
      </c>
      <c r="EH108" s="59" t="s">
        <v>399</v>
      </c>
      <c r="EI108" s="103">
        <v>0.5</v>
      </c>
      <c r="EJ108" s="103">
        <v>0.5</v>
      </c>
      <c r="EK108" s="59">
        <v>0.025</v>
      </c>
      <c r="EL108" s="59">
        <v>0.271</v>
      </c>
      <c r="EM108" s="59" t="s">
        <v>400</v>
      </c>
      <c r="EN108" s="59" t="s">
        <v>400</v>
      </c>
      <c r="EO108" s="103">
        <v>0</v>
      </c>
      <c r="EP108" s="59">
        <v>0.15</v>
      </c>
      <c r="EQ108" s="59"/>
      <c r="ER108" s="59"/>
      <c r="ES108" s="59" t="s">
        <v>405</v>
      </c>
      <c r="ET108" s="103">
        <v>2</v>
      </c>
      <c r="EU108" s="59"/>
      <c r="EV108" s="103">
        <v>2</v>
      </c>
      <c r="EW108" s="103">
        <v>10</v>
      </c>
      <c r="EX108" s="103">
        <v>10</v>
      </c>
      <c r="EY108" s="59">
        <v>204.625</v>
      </c>
      <c r="EZ108" s="168">
        <v>203.5</v>
      </c>
      <c r="FA108" s="167">
        <v>1.2</v>
      </c>
      <c r="FB108" s="167">
        <v>1.2</v>
      </c>
      <c r="FC108" s="167" t="s">
        <v>400</v>
      </c>
      <c r="FD108" s="167" t="s">
        <v>400</v>
      </c>
      <c r="FE108" s="167" t="s">
        <v>400</v>
      </c>
      <c r="FF108" s="167" t="s">
        <v>400</v>
      </c>
      <c r="FG108" s="167">
        <v>3</v>
      </c>
      <c r="FH108" s="167" t="s">
        <v>400</v>
      </c>
      <c r="FI108" s="167" t="s">
        <v>400</v>
      </c>
      <c r="FJ108" s="167" t="s">
        <v>400</v>
      </c>
      <c r="FK108" s="167">
        <v>2</v>
      </c>
      <c r="FL108" s="167" t="s">
        <v>400</v>
      </c>
      <c r="FM108" s="167" t="s">
        <v>400</v>
      </c>
      <c r="FN108" s="167" t="s">
        <v>400</v>
      </c>
      <c r="FO108" s="167" t="s">
        <v>400</v>
      </c>
      <c r="FP108" s="167" t="s">
        <v>400</v>
      </c>
      <c r="FQ108" s="167" t="s">
        <v>400</v>
      </c>
      <c r="FR108" s="167" t="s">
        <v>400</v>
      </c>
      <c r="FS108" s="167" t="s">
        <v>400</v>
      </c>
      <c r="FT108" s="167"/>
      <c r="FU108" s="59"/>
      <c r="FV108" s="59"/>
      <c r="FW108" s="59"/>
      <c r="FX108" s="59"/>
      <c r="FY108" s="59"/>
      <c r="FZ108" s="59"/>
      <c r="GA108" s="59"/>
      <c r="GB108" s="59"/>
      <c r="GC108" s="59"/>
      <c r="GD108" s="59"/>
      <c r="GE108" s="59"/>
      <c r="GF108" s="59"/>
      <c r="GG108" s="59"/>
      <c r="GH108" s="59"/>
      <c r="GI108" s="59"/>
      <c r="GJ108" s="59"/>
      <c r="GK108" s="59"/>
      <c r="GL108" s="59"/>
      <c r="GM108" s="59"/>
      <c r="GN108" s="59"/>
      <c r="GO108" s="59"/>
      <c r="GP108" s="59"/>
      <c r="GQ108" s="59"/>
      <c r="GR108" s="59"/>
      <c r="GS108" s="59"/>
      <c r="GT108" s="59"/>
    </row>
    <row r="109" spans="1:202" ht="27" customHeight="1">
      <c r="A109" s="92"/>
      <c r="B109" s="93"/>
      <c r="C109" s="94"/>
      <c r="D109" s="94"/>
      <c r="E109" s="94"/>
      <c r="F109" s="95"/>
      <c r="G109" s="96"/>
      <c r="H109" s="96"/>
      <c r="I109" s="59"/>
      <c r="J109" s="59"/>
      <c r="K109" s="95"/>
      <c r="L109" s="95"/>
      <c r="M109" s="59"/>
      <c r="N109" s="59"/>
      <c r="O109" s="95"/>
      <c r="P109" s="59"/>
      <c r="Q109" s="59"/>
      <c r="R109" s="59"/>
      <c r="S109" s="97"/>
      <c r="T109" s="59"/>
      <c r="U109" s="98"/>
      <c r="V109" s="99"/>
      <c r="W109" s="98"/>
      <c r="X109" s="99"/>
      <c r="Y109" s="98"/>
      <c r="Z109" s="99"/>
      <c r="AA109" s="59"/>
      <c r="AB109" s="59"/>
      <c r="AC109" s="59"/>
      <c r="AD109" s="59"/>
      <c r="AE109" s="100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 t="s">
        <v>452</v>
      </c>
      <c r="DW109" s="59" t="s">
        <v>284</v>
      </c>
      <c r="DX109" s="59" t="s">
        <v>285</v>
      </c>
      <c r="DY109" s="59" t="s">
        <v>286</v>
      </c>
      <c r="DZ109" s="59" t="s">
        <v>453</v>
      </c>
      <c r="EA109" s="59">
        <v>1.681</v>
      </c>
      <c r="EB109" s="59">
        <v>2538</v>
      </c>
      <c r="EC109" s="59" t="s">
        <v>185</v>
      </c>
      <c r="ED109" s="59">
        <v>0.926</v>
      </c>
      <c r="EE109" s="59">
        <v>1.934</v>
      </c>
      <c r="EF109" s="59">
        <v>0.478</v>
      </c>
      <c r="EG109" s="196">
        <v>1.5</v>
      </c>
      <c r="EH109" s="59" t="s">
        <v>399</v>
      </c>
      <c r="EI109" s="103">
        <v>1</v>
      </c>
      <c r="EJ109" s="59">
        <v>0.85</v>
      </c>
      <c r="EK109" s="59">
        <v>0.018</v>
      </c>
      <c r="EL109" s="59">
        <v>0.476</v>
      </c>
      <c r="EM109" s="59">
        <v>0.06</v>
      </c>
      <c r="EN109" s="103">
        <v>1</v>
      </c>
      <c r="EO109" s="103">
        <f t="shared" si="6"/>
        <v>0.15000000000000002</v>
      </c>
      <c r="EP109" s="59">
        <v>0.15</v>
      </c>
      <c r="EQ109" s="59"/>
      <c r="ER109" s="59"/>
      <c r="ES109" s="59" t="s">
        <v>405</v>
      </c>
      <c r="ET109" s="103">
        <v>5</v>
      </c>
      <c r="EU109" s="59"/>
      <c r="EV109" s="103">
        <v>5</v>
      </c>
      <c r="EW109" s="103">
        <v>15</v>
      </c>
      <c r="EX109" s="103">
        <v>15</v>
      </c>
      <c r="EY109" s="59">
        <v>207.837</v>
      </c>
      <c r="EZ109" s="168">
        <v>207.35</v>
      </c>
      <c r="FA109" s="167">
        <v>1.2</v>
      </c>
      <c r="FB109" s="167">
        <v>1.2</v>
      </c>
      <c r="FC109" s="167" t="s">
        <v>400</v>
      </c>
      <c r="FD109" s="167" t="s">
        <v>400</v>
      </c>
      <c r="FE109" s="167">
        <v>1</v>
      </c>
      <c r="FF109" s="167" t="s">
        <v>400</v>
      </c>
      <c r="FG109" s="167" t="s">
        <v>400</v>
      </c>
      <c r="FH109" s="167" t="s">
        <v>400</v>
      </c>
      <c r="FI109" s="171">
        <v>1</v>
      </c>
      <c r="FJ109" s="167" t="s">
        <v>400</v>
      </c>
      <c r="FK109" s="167" t="s">
        <v>400</v>
      </c>
      <c r="FL109" s="167" t="s">
        <v>400</v>
      </c>
      <c r="FM109" s="167" t="s">
        <v>400</v>
      </c>
      <c r="FN109" s="167" t="s">
        <v>400</v>
      </c>
      <c r="FO109" s="167" t="s">
        <v>400</v>
      </c>
      <c r="FP109" s="167" t="s">
        <v>400</v>
      </c>
      <c r="FQ109" s="167" t="s">
        <v>400</v>
      </c>
      <c r="FR109" s="167">
        <v>5</v>
      </c>
      <c r="FS109" s="167" t="s">
        <v>400</v>
      </c>
      <c r="FT109" s="167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  <c r="GO109" s="59"/>
      <c r="GP109" s="59"/>
      <c r="GQ109" s="59"/>
      <c r="GR109" s="59"/>
      <c r="GS109" s="59"/>
      <c r="GT109" s="59"/>
    </row>
    <row r="110" spans="1:202" ht="27" customHeight="1">
      <c r="A110" s="92"/>
      <c r="B110" s="93"/>
      <c r="C110" s="94"/>
      <c r="D110" s="94"/>
      <c r="E110" s="94"/>
      <c r="F110" s="95"/>
      <c r="G110" s="96"/>
      <c r="H110" s="96"/>
      <c r="I110" s="59"/>
      <c r="J110" s="59"/>
      <c r="K110" s="95"/>
      <c r="L110" s="95"/>
      <c r="M110" s="59"/>
      <c r="N110" s="59"/>
      <c r="O110" s="95"/>
      <c r="P110" s="59"/>
      <c r="Q110" s="59"/>
      <c r="R110" s="59"/>
      <c r="S110" s="97"/>
      <c r="T110" s="59"/>
      <c r="U110" s="98"/>
      <c r="V110" s="99"/>
      <c r="W110" s="98"/>
      <c r="X110" s="99"/>
      <c r="Y110" s="98"/>
      <c r="Z110" s="99"/>
      <c r="AA110" s="59"/>
      <c r="AB110" s="59"/>
      <c r="AC110" s="59"/>
      <c r="AD110" s="59"/>
      <c r="AE110" s="100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 t="s">
        <v>452</v>
      </c>
      <c r="DW110" s="59" t="s">
        <v>284</v>
      </c>
      <c r="DX110" s="59" t="s">
        <v>285</v>
      </c>
      <c r="DY110" s="59" t="s">
        <v>453</v>
      </c>
      <c r="DZ110" s="59" t="s">
        <v>454</v>
      </c>
      <c r="EA110" s="59">
        <v>2.269</v>
      </c>
      <c r="EB110" s="59">
        <v>2538</v>
      </c>
      <c r="EC110" s="59" t="s">
        <v>185</v>
      </c>
      <c r="ED110" s="99">
        <v>0.67</v>
      </c>
      <c r="EE110" s="59">
        <v>1.519</v>
      </c>
      <c r="EF110" s="59">
        <v>0.441</v>
      </c>
      <c r="EG110" s="196">
        <v>1.5</v>
      </c>
      <c r="EH110" s="59" t="s">
        <v>399</v>
      </c>
      <c r="EI110" s="103">
        <v>0.9</v>
      </c>
      <c r="EJ110" s="59">
        <v>0.75</v>
      </c>
      <c r="EK110" s="59">
        <v>0.018</v>
      </c>
      <c r="EL110" s="59">
        <v>0.421</v>
      </c>
      <c r="EM110" s="59">
        <v>0.06</v>
      </c>
      <c r="EN110" s="103">
        <v>0.9</v>
      </c>
      <c r="EO110" s="103">
        <f t="shared" si="6"/>
        <v>0.15000000000000002</v>
      </c>
      <c r="EP110" s="59">
        <v>0.15</v>
      </c>
      <c r="EQ110" s="59"/>
      <c r="ER110" s="59"/>
      <c r="ES110" s="59" t="s">
        <v>405</v>
      </c>
      <c r="ET110" s="103">
        <v>5</v>
      </c>
      <c r="EU110" s="59"/>
      <c r="EV110" s="103">
        <v>5</v>
      </c>
      <c r="EW110" s="103">
        <v>15</v>
      </c>
      <c r="EX110" s="103">
        <v>15</v>
      </c>
      <c r="EY110" s="59">
        <v>204.321</v>
      </c>
      <c r="EZ110" s="168">
        <v>204.9</v>
      </c>
      <c r="FA110" s="167">
        <v>1.2</v>
      </c>
      <c r="FB110" s="167">
        <v>1.2</v>
      </c>
      <c r="FC110" s="167" t="s">
        <v>400</v>
      </c>
      <c r="FD110" s="167" t="s">
        <v>400</v>
      </c>
      <c r="FE110" s="167" t="s">
        <v>400</v>
      </c>
      <c r="FF110" s="167" t="s">
        <v>400</v>
      </c>
      <c r="FG110" s="167">
        <v>2</v>
      </c>
      <c r="FH110" s="167" t="s">
        <v>400</v>
      </c>
      <c r="FI110" s="167" t="s">
        <v>400</v>
      </c>
      <c r="FJ110" s="167" t="s">
        <v>400</v>
      </c>
      <c r="FK110" s="167" t="s">
        <v>400</v>
      </c>
      <c r="FL110" s="167" t="s">
        <v>400</v>
      </c>
      <c r="FM110" s="167" t="s">
        <v>400</v>
      </c>
      <c r="FN110" s="167" t="s">
        <v>400</v>
      </c>
      <c r="FO110" s="167" t="s">
        <v>400</v>
      </c>
      <c r="FP110" s="167" t="s">
        <v>400</v>
      </c>
      <c r="FQ110" s="167" t="s">
        <v>400</v>
      </c>
      <c r="FR110" s="167">
        <v>8</v>
      </c>
      <c r="FS110" s="167" t="s">
        <v>400</v>
      </c>
      <c r="FT110" s="167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  <c r="GO110" s="59"/>
      <c r="GP110" s="59"/>
      <c r="GQ110" s="59"/>
      <c r="GR110" s="59"/>
      <c r="GS110" s="59"/>
      <c r="GT110" s="59"/>
    </row>
    <row r="111" spans="1:202" ht="27" customHeight="1">
      <c r="A111" s="92"/>
      <c r="B111" s="93"/>
      <c r="C111" s="94"/>
      <c r="D111" s="94"/>
      <c r="E111" s="94"/>
      <c r="F111" s="95"/>
      <c r="G111" s="96"/>
      <c r="H111" s="96"/>
      <c r="I111" s="59"/>
      <c r="J111" s="59"/>
      <c r="K111" s="95"/>
      <c r="L111" s="95"/>
      <c r="M111" s="59"/>
      <c r="N111" s="59"/>
      <c r="O111" s="95"/>
      <c r="P111" s="59"/>
      <c r="Q111" s="59"/>
      <c r="R111" s="59"/>
      <c r="S111" s="97"/>
      <c r="T111" s="59"/>
      <c r="U111" s="98"/>
      <c r="V111" s="99"/>
      <c r="W111" s="98"/>
      <c r="X111" s="99"/>
      <c r="Y111" s="98"/>
      <c r="Z111" s="99"/>
      <c r="AA111" s="59"/>
      <c r="AB111" s="59"/>
      <c r="AC111" s="59"/>
      <c r="AD111" s="59"/>
      <c r="AE111" s="100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 t="s">
        <v>452</v>
      </c>
      <c r="DW111" s="59" t="s">
        <v>284</v>
      </c>
      <c r="DX111" s="59" t="s">
        <v>285</v>
      </c>
      <c r="DY111" s="59" t="s">
        <v>454</v>
      </c>
      <c r="DZ111" s="59" t="s">
        <v>455</v>
      </c>
      <c r="EA111" s="59">
        <v>550</v>
      </c>
      <c r="EB111" s="59">
        <v>2538</v>
      </c>
      <c r="EC111" s="59" t="s">
        <v>185</v>
      </c>
      <c r="ED111" s="59">
        <v>0.206</v>
      </c>
      <c r="EE111" s="59">
        <v>0.625</v>
      </c>
      <c r="EF111" s="59">
        <v>0.329</v>
      </c>
      <c r="EG111" s="196">
        <v>1.5</v>
      </c>
      <c r="EH111" s="59" t="s">
        <v>399</v>
      </c>
      <c r="EI111" s="103">
        <v>0.5</v>
      </c>
      <c r="EJ111" s="103">
        <v>0.5</v>
      </c>
      <c r="EK111" s="59">
        <v>0.018</v>
      </c>
      <c r="EL111" s="59">
        <v>0.271</v>
      </c>
      <c r="EM111" s="59">
        <v>0.06</v>
      </c>
      <c r="EN111" s="59">
        <v>0.65</v>
      </c>
      <c r="EO111" s="103">
        <f t="shared" si="6"/>
        <v>0.15000000000000002</v>
      </c>
      <c r="EP111" s="59">
        <v>0.15</v>
      </c>
      <c r="EQ111" s="59"/>
      <c r="ER111" s="59"/>
      <c r="ES111" s="59" t="s">
        <v>405</v>
      </c>
      <c r="ET111" s="103">
        <v>5</v>
      </c>
      <c r="EU111" s="59"/>
      <c r="EV111" s="103">
        <v>5</v>
      </c>
      <c r="EW111" s="103">
        <v>15</v>
      </c>
      <c r="EX111" s="103">
        <v>15</v>
      </c>
      <c r="EY111" s="59">
        <v>201.317</v>
      </c>
      <c r="EZ111" s="168">
        <v>200.8</v>
      </c>
      <c r="FA111" s="167">
        <v>1.2</v>
      </c>
      <c r="FB111" s="167">
        <v>1.2</v>
      </c>
      <c r="FC111" s="167" t="s">
        <v>400</v>
      </c>
      <c r="FD111" s="167" t="s">
        <v>400</v>
      </c>
      <c r="FE111" s="167" t="s">
        <v>400</v>
      </c>
      <c r="FF111" s="167" t="s">
        <v>400</v>
      </c>
      <c r="FG111" s="167" t="s">
        <v>400</v>
      </c>
      <c r="FH111" s="167" t="s">
        <v>400</v>
      </c>
      <c r="FI111" s="167" t="s">
        <v>400</v>
      </c>
      <c r="FJ111" s="167" t="s">
        <v>400</v>
      </c>
      <c r="FK111" s="167" t="s">
        <v>400</v>
      </c>
      <c r="FL111" s="167" t="s">
        <v>400</v>
      </c>
      <c r="FM111" s="167" t="s">
        <v>400</v>
      </c>
      <c r="FN111" s="167" t="s">
        <v>400</v>
      </c>
      <c r="FO111" s="167" t="s">
        <v>400</v>
      </c>
      <c r="FP111" s="167" t="s">
        <v>400</v>
      </c>
      <c r="FQ111" s="167" t="s">
        <v>400</v>
      </c>
      <c r="FR111" s="167">
        <v>2</v>
      </c>
      <c r="FS111" s="167" t="s">
        <v>400</v>
      </c>
      <c r="FT111" s="167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</row>
    <row r="112" spans="1:202" ht="27" customHeight="1">
      <c r="A112" s="92"/>
      <c r="B112" s="93"/>
      <c r="C112" s="94"/>
      <c r="D112" s="94"/>
      <c r="E112" s="94"/>
      <c r="F112" s="95"/>
      <c r="G112" s="96"/>
      <c r="H112" s="96"/>
      <c r="I112" s="59"/>
      <c r="J112" s="59"/>
      <c r="K112" s="95"/>
      <c r="L112" s="95"/>
      <c r="M112" s="59"/>
      <c r="N112" s="59"/>
      <c r="O112" s="95"/>
      <c r="P112" s="59"/>
      <c r="Q112" s="59"/>
      <c r="R112" s="59"/>
      <c r="S112" s="97"/>
      <c r="T112" s="59"/>
      <c r="U112" s="98"/>
      <c r="V112" s="99"/>
      <c r="W112" s="98"/>
      <c r="X112" s="99"/>
      <c r="Y112" s="98"/>
      <c r="Z112" s="99"/>
      <c r="AA112" s="59"/>
      <c r="AB112" s="59"/>
      <c r="AC112" s="59"/>
      <c r="AD112" s="59"/>
      <c r="AE112" s="100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 t="s">
        <v>452</v>
      </c>
      <c r="DW112" s="59" t="s">
        <v>17</v>
      </c>
      <c r="DX112" s="59" t="s">
        <v>285</v>
      </c>
      <c r="DY112" s="59" t="s">
        <v>455</v>
      </c>
      <c r="DZ112" s="59" t="s">
        <v>456</v>
      </c>
      <c r="EA112" s="59">
        <v>470</v>
      </c>
      <c r="EB112" s="59">
        <v>2538</v>
      </c>
      <c r="EC112" s="59" t="s">
        <v>185</v>
      </c>
      <c r="ED112" s="59">
        <v>0.135</v>
      </c>
      <c r="EE112" s="59">
        <v>0.625</v>
      </c>
      <c r="EF112" s="59">
        <v>0.216</v>
      </c>
      <c r="EG112" s="196">
        <v>1.6</v>
      </c>
      <c r="EH112" s="59" t="s">
        <v>399</v>
      </c>
      <c r="EI112" s="103">
        <v>0.5</v>
      </c>
      <c r="EJ112" s="103">
        <v>0.5</v>
      </c>
      <c r="EK112" s="59">
        <v>0.025</v>
      </c>
      <c r="EL112" s="59">
        <v>0.271</v>
      </c>
      <c r="EM112" s="59" t="s">
        <v>400</v>
      </c>
      <c r="EN112" s="59">
        <v>0</v>
      </c>
      <c r="EO112" s="103">
        <v>0</v>
      </c>
      <c r="EP112" s="59">
        <v>0.15</v>
      </c>
      <c r="EQ112" s="59"/>
      <c r="ER112" s="59"/>
      <c r="ES112" s="59" t="s">
        <v>405</v>
      </c>
      <c r="ET112" s="103">
        <v>2</v>
      </c>
      <c r="EU112" s="59"/>
      <c r="EV112" s="103">
        <v>2</v>
      </c>
      <c r="EW112" s="103">
        <v>10</v>
      </c>
      <c r="EX112" s="103">
        <v>10</v>
      </c>
      <c r="EY112" s="59">
        <v>201.223</v>
      </c>
      <c r="EZ112" s="168">
        <v>200.6</v>
      </c>
      <c r="FA112" s="167">
        <v>1.2</v>
      </c>
      <c r="FB112" s="167">
        <v>1.2</v>
      </c>
      <c r="FC112" s="167" t="s">
        <v>400</v>
      </c>
      <c r="FD112" s="167" t="s">
        <v>400</v>
      </c>
      <c r="FE112" s="167" t="s">
        <v>400</v>
      </c>
      <c r="FF112" s="167" t="s">
        <v>400</v>
      </c>
      <c r="FG112" s="167" t="s">
        <v>400</v>
      </c>
      <c r="FH112" s="167" t="s">
        <v>400</v>
      </c>
      <c r="FI112" s="167" t="s">
        <v>400</v>
      </c>
      <c r="FJ112" s="167" t="s">
        <v>400</v>
      </c>
      <c r="FK112" s="167" t="s">
        <v>400</v>
      </c>
      <c r="FL112" s="167" t="s">
        <v>400</v>
      </c>
      <c r="FM112" s="167" t="s">
        <v>400</v>
      </c>
      <c r="FN112" s="167" t="s">
        <v>400</v>
      </c>
      <c r="FO112" s="167" t="s">
        <v>400</v>
      </c>
      <c r="FP112" s="167" t="s">
        <v>400</v>
      </c>
      <c r="FQ112" s="167" t="s">
        <v>400</v>
      </c>
      <c r="FR112" s="167">
        <v>1</v>
      </c>
      <c r="FS112" s="167" t="s">
        <v>400</v>
      </c>
      <c r="FT112" s="167"/>
      <c r="FU112" s="59"/>
      <c r="FV112" s="59"/>
      <c r="FW112" s="59"/>
      <c r="FX112" s="59"/>
      <c r="FY112" s="59"/>
      <c r="FZ112" s="59"/>
      <c r="GA112" s="59"/>
      <c r="GB112" s="59"/>
      <c r="GC112" s="59"/>
      <c r="GD112" s="59"/>
      <c r="GE112" s="59"/>
      <c r="GF112" s="59"/>
      <c r="GG112" s="59"/>
      <c r="GH112" s="59"/>
      <c r="GI112" s="59"/>
      <c r="GJ112" s="59"/>
      <c r="GK112" s="59"/>
      <c r="GL112" s="59"/>
      <c r="GM112" s="59"/>
      <c r="GN112" s="59"/>
      <c r="GO112" s="59"/>
      <c r="GP112" s="59"/>
      <c r="GQ112" s="59"/>
      <c r="GR112" s="59"/>
      <c r="GS112" s="59"/>
      <c r="GT112" s="59"/>
    </row>
    <row r="113" spans="1:202" ht="27" customHeight="1">
      <c r="A113" s="92"/>
      <c r="B113" s="93"/>
      <c r="C113" s="94"/>
      <c r="D113" s="94"/>
      <c r="E113" s="94"/>
      <c r="F113" s="95"/>
      <c r="G113" s="96"/>
      <c r="H113" s="96"/>
      <c r="I113" s="59"/>
      <c r="J113" s="59"/>
      <c r="K113" s="95"/>
      <c r="L113" s="95"/>
      <c r="M113" s="59"/>
      <c r="N113" s="59"/>
      <c r="O113" s="95"/>
      <c r="P113" s="59"/>
      <c r="Q113" s="59"/>
      <c r="R113" s="59"/>
      <c r="S113" s="97"/>
      <c r="T113" s="59"/>
      <c r="U113" s="98"/>
      <c r="V113" s="99"/>
      <c r="W113" s="98"/>
      <c r="X113" s="99"/>
      <c r="Y113" s="98"/>
      <c r="Z113" s="99"/>
      <c r="AA113" s="59"/>
      <c r="AB113" s="59"/>
      <c r="AC113" s="59"/>
      <c r="AD113" s="59"/>
      <c r="AE113" s="100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 t="s">
        <v>457</v>
      </c>
      <c r="DW113" s="59" t="s">
        <v>284</v>
      </c>
      <c r="DX113" s="59" t="s">
        <v>285</v>
      </c>
      <c r="DY113" s="59" t="s">
        <v>286</v>
      </c>
      <c r="DZ113" s="59" t="s">
        <v>318</v>
      </c>
      <c r="EA113" s="99">
        <v>1.05</v>
      </c>
      <c r="EB113" s="59">
        <v>2538</v>
      </c>
      <c r="EC113" s="59" t="s">
        <v>185</v>
      </c>
      <c r="ED113" s="59">
        <v>0.816</v>
      </c>
      <c r="EE113" s="99">
        <v>1.76</v>
      </c>
      <c r="EF113" s="59">
        <v>0.463</v>
      </c>
      <c r="EG113" s="196">
        <v>1.5</v>
      </c>
      <c r="EH113" s="59" t="s">
        <v>399</v>
      </c>
      <c r="EI113" s="103">
        <v>1</v>
      </c>
      <c r="EJ113" s="103">
        <v>0.8</v>
      </c>
      <c r="EK113" s="59">
        <v>0.018</v>
      </c>
      <c r="EL113" s="59">
        <v>0.453</v>
      </c>
      <c r="EM113" s="59">
        <v>0.06</v>
      </c>
      <c r="EN113" s="59">
        <v>0.95</v>
      </c>
      <c r="EO113" s="103">
        <f t="shared" si="6"/>
        <v>0.1499999999999999</v>
      </c>
      <c r="EP113" s="59">
        <v>0.15</v>
      </c>
      <c r="EQ113" s="59"/>
      <c r="ER113" s="59"/>
      <c r="ES113" s="59" t="s">
        <v>405</v>
      </c>
      <c r="ET113" s="103">
        <v>5</v>
      </c>
      <c r="EU113" s="59"/>
      <c r="EV113" s="103">
        <v>5</v>
      </c>
      <c r="EW113" s="103">
        <v>15</v>
      </c>
      <c r="EX113" s="103">
        <v>15</v>
      </c>
      <c r="EY113" s="59">
        <v>204.315</v>
      </c>
      <c r="EZ113" s="168">
        <v>205</v>
      </c>
      <c r="FA113" s="167">
        <v>1.2</v>
      </c>
      <c r="FB113" s="167">
        <v>1.2</v>
      </c>
      <c r="FC113" s="167" t="s">
        <v>400</v>
      </c>
      <c r="FD113" s="167" t="s">
        <v>400</v>
      </c>
      <c r="FE113" s="167" t="s">
        <v>400</v>
      </c>
      <c r="FF113" s="167" t="s">
        <v>400</v>
      </c>
      <c r="FG113" s="167">
        <v>1</v>
      </c>
      <c r="FH113" s="167" t="s">
        <v>400</v>
      </c>
      <c r="FI113" s="167" t="s">
        <v>400</v>
      </c>
      <c r="FJ113" s="167" t="s">
        <v>400</v>
      </c>
      <c r="FK113" s="167" t="s">
        <v>400</v>
      </c>
      <c r="FL113" s="167" t="s">
        <v>400</v>
      </c>
      <c r="FM113" s="167" t="s">
        <v>400</v>
      </c>
      <c r="FN113" s="167" t="s">
        <v>400</v>
      </c>
      <c r="FO113" s="167" t="s">
        <v>400</v>
      </c>
      <c r="FP113" s="167" t="s">
        <v>400</v>
      </c>
      <c r="FQ113" s="167" t="s">
        <v>400</v>
      </c>
      <c r="FR113" s="167">
        <v>4</v>
      </c>
      <c r="FS113" s="167" t="s">
        <v>400</v>
      </c>
      <c r="FT113" s="167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</row>
    <row r="114" spans="1:202" ht="27" customHeight="1">
      <c r="A114" s="92"/>
      <c r="B114" s="93"/>
      <c r="C114" s="94"/>
      <c r="D114" s="94"/>
      <c r="E114" s="94"/>
      <c r="F114" s="95"/>
      <c r="G114" s="96"/>
      <c r="H114" s="96"/>
      <c r="I114" s="59"/>
      <c r="J114" s="59"/>
      <c r="K114" s="95"/>
      <c r="L114" s="95"/>
      <c r="M114" s="59"/>
      <c r="N114" s="59"/>
      <c r="O114" s="95"/>
      <c r="P114" s="59"/>
      <c r="Q114" s="59"/>
      <c r="R114" s="59"/>
      <c r="S114" s="97"/>
      <c r="T114" s="59"/>
      <c r="U114" s="98"/>
      <c r="V114" s="99"/>
      <c r="W114" s="98"/>
      <c r="X114" s="99"/>
      <c r="Y114" s="98"/>
      <c r="Z114" s="99"/>
      <c r="AA114" s="59"/>
      <c r="AB114" s="59"/>
      <c r="AC114" s="59"/>
      <c r="AD114" s="59"/>
      <c r="AE114" s="100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 t="s">
        <v>457</v>
      </c>
      <c r="DW114" s="59" t="s">
        <v>284</v>
      </c>
      <c r="DX114" s="59" t="s">
        <v>285</v>
      </c>
      <c r="DY114" s="59" t="s">
        <v>318</v>
      </c>
      <c r="DZ114" s="59" t="s">
        <v>458</v>
      </c>
      <c r="EA114" s="99">
        <v>1.4</v>
      </c>
      <c r="EB114" s="59">
        <v>2538</v>
      </c>
      <c r="EC114" s="59" t="s">
        <v>185</v>
      </c>
      <c r="ED114" s="59">
        <v>0.628</v>
      </c>
      <c r="EE114" s="59">
        <v>1.444</v>
      </c>
      <c r="EF114" s="59">
        <v>0.435</v>
      </c>
      <c r="EG114" s="196">
        <v>1.5</v>
      </c>
      <c r="EH114" s="59" t="s">
        <v>399</v>
      </c>
      <c r="EI114" s="103">
        <v>0.8</v>
      </c>
      <c r="EJ114" s="59">
        <v>0.75</v>
      </c>
      <c r="EK114" s="59">
        <v>0.018</v>
      </c>
      <c r="EL114" s="59">
        <v>0.412</v>
      </c>
      <c r="EM114" s="59">
        <v>0.06</v>
      </c>
      <c r="EN114" s="103">
        <v>0.9</v>
      </c>
      <c r="EO114" s="103">
        <f t="shared" si="6"/>
        <v>0.15000000000000002</v>
      </c>
      <c r="EP114" s="59">
        <v>0.15</v>
      </c>
      <c r="EQ114" s="59"/>
      <c r="ER114" s="59"/>
      <c r="ES114" s="59" t="s">
        <v>405</v>
      </c>
      <c r="ET114" s="103">
        <v>5</v>
      </c>
      <c r="EU114" s="59"/>
      <c r="EV114" s="103">
        <v>5</v>
      </c>
      <c r="EW114" s="103">
        <v>15</v>
      </c>
      <c r="EX114" s="103">
        <v>15</v>
      </c>
      <c r="EY114" s="59">
        <v>202.605</v>
      </c>
      <c r="EZ114" s="168">
        <v>202.55</v>
      </c>
      <c r="FA114" s="167">
        <v>1.2</v>
      </c>
      <c r="FB114" s="167">
        <v>1.2</v>
      </c>
      <c r="FC114" s="167" t="s">
        <v>400</v>
      </c>
      <c r="FD114" s="167" t="s">
        <v>400</v>
      </c>
      <c r="FE114" s="167" t="s">
        <v>400</v>
      </c>
      <c r="FF114" s="167">
        <v>1</v>
      </c>
      <c r="FG114" s="167">
        <v>1</v>
      </c>
      <c r="FH114" s="167" t="s">
        <v>400</v>
      </c>
      <c r="FI114" s="167" t="s">
        <v>400</v>
      </c>
      <c r="FJ114" s="167" t="s">
        <v>400</v>
      </c>
      <c r="FK114" s="167" t="s">
        <v>400</v>
      </c>
      <c r="FL114" s="167" t="s">
        <v>400</v>
      </c>
      <c r="FM114" s="167" t="s">
        <v>400</v>
      </c>
      <c r="FN114" s="167" t="s">
        <v>400</v>
      </c>
      <c r="FO114" s="167" t="s">
        <v>400</v>
      </c>
      <c r="FP114" s="167" t="s">
        <v>400</v>
      </c>
      <c r="FQ114" s="167" t="s">
        <v>400</v>
      </c>
      <c r="FR114" s="167">
        <v>6</v>
      </c>
      <c r="FS114" s="167" t="s">
        <v>400</v>
      </c>
      <c r="FT114" s="167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</row>
    <row r="115" spans="1:202" ht="27" customHeight="1">
      <c r="A115" s="92"/>
      <c r="B115" s="93"/>
      <c r="C115" s="94"/>
      <c r="D115" s="94"/>
      <c r="E115" s="94"/>
      <c r="F115" s="95"/>
      <c r="G115" s="96"/>
      <c r="H115" s="96"/>
      <c r="I115" s="59"/>
      <c r="J115" s="59"/>
      <c r="K115" s="95"/>
      <c r="L115" s="95"/>
      <c r="M115" s="59"/>
      <c r="N115" s="59"/>
      <c r="O115" s="95"/>
      <c r="P115" s="59"/>
      <c r="Q115" s="59"/>
      <c r="R115" s="59"/>
      <c r="S115" s="97"/>
      <c r="T115" s="59"/>
      <c r="U115" s="98"/>
      <c r="V115" s="99"/>
      <c r="W115" s="98"/>
      <c r="X115" s="99"/>
      <c r="Y115" s="98"/>
      <c r="Z115" s="99"/>
      <c r="AA115" s="59"/>
      <c r="AB115" s="59"/>
      <c r="AC115" s="59"/>
      <c r="AD115" s="59"/>
      <c r="AE115" s="100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 t="s">
        <v>457</v>
      </c>
      <c r="DW115" s="59" t="s">
        <v>284</v>
      </c>
      <c r="DX115" s="59" t="s">
        <v>285</v>
      </c>
      <c r="DY115" s="59" t="s">
        <v>458</v>
      </c>
      <c r="DZ115" s="59" t="s">
        <v>291</v>
      </c>
      <c r="EA115" s="99">
        <v>1.1</v>
      </c>
      <c r="EB115" s="59">
        <v>2538</v>
      </c>
      <c r="EC115" s="59" t="s">
        <v>185</v>
      </c>
      <c r="ED115" s="59">
        <v>0.206</v>
      </c>
      <c r="EE115" s="59">
        <v>0.625</v>
      </c>
      <c r="EF115" s="59">
        <v>0.329</v>
      </c>
      <c r="EG115" s="196">
        <v>1.5</v>
      </c>
      <c r="EH115" s="59" t="s">
        <v>399</v>
      </c>
      <c r="EI115" s="103">
        <v>0.5</v>
      </c>
      <c r="EJ115" s="103">
        <v>0.5</v>
      </c>
      <c r="EK115" s="59">
        <v>0.018</v>
      </c>
      <c r="EL115" s="59">
        <v>0.271</v>
      </c>
      <c r="EM115" s="59">
        <v>0.06</v>
      </c>
      <c r="EN115" s="59">
        <v>0.65</v>
      </c>
      <c r="EO115" s="103">
        <f t="shared" si="6"/>
        <v>0.15000000000000002</v>
      </c>
      <c r="EP115" s="59">
        <v>0.15</v>
      </c>
      <c r="EQ115" s="59"/>
      <c r="ER115" s="59"/>
      <c r="ES115" s="59" t="s">
        <v>405</v>
      </c>
      <c r="ET115" s="103">
        <v>5</v>
      </c>
      <c r="EU115" s="59"/>
      <c r="EV115" s="103">
        <v>5</v>
      </c>
      <c r="EW115" s="103">
        <v>15</v>
      </c>
      <c r="EX115" s="103">
        <v>15</v>
      </c>
      <c r="EY115" s="59">
        <v>200.575</v>
      </c>
      <c r="EZ115" s="168">
        <v>200.3</v>
      </c>
      <c r="FA115" s="167">
        <v>1.2</v>
      </c>
      <c r="FB115" s="167">
        <v>1.2</v>
      </c>
      <c r="FC115" s="167" t="s">
        <v>400</v>
      </c>
      <c r="FD115" s="167" t="s">
        <v>400</v>
      </c>
      <c r="FE115" s="167" t="s">
        <v>400</v>
      </c>
      <c r="FF115" s="167">
        <v>1</v>
      </c>
      <c r="FG115" s="167" t="s">
        <v>400</v>
      </c>
      <c r="FH115" s="171" t="s">
        <v>400</v>
      </c>
      <c r="FI115" s="167" t="s">
        <v>400</v>
      </c>
      <c r="FJ115" s="167" t="s">
        <v>400</v>
      </c>
      <c r="FK115" s="167">
        <v>1</v>
      </c>
      <c r="FL115" s="167" t="s">
        <v>400</v>
      </c>
      <c r="FM115" s="167" t="s">
        <v>400</v>
      </c>
      <c r="FN115" s="167" t="s">
        <v>400</v>
      </c>
      <c r="FO115" s="167" t="s">
        <v>400</v>
      </c>
      <c r="FP115" s="167" t="s">
        <v>400</v>
      </c>
      <c r="FQ115" s="167" t="s">
        <v>400</v>
      </c>
      <c r="FR115" s="167">
        <v>3</v>
      </c>
      <c r="FS115" s="167" t="s">
        <v>400</v>
      </c>
      <c r="FT115" s="167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</row>
    <row r="116" spans="1:202" ht="27" customHeight="1">
      <c r="A116" s="92"/>
      <c r="B116" s="93"/>
      <c r="C116" s="94"/>
      <c r="D116" s="94"/>
      <c r="E116" s="94"/>
      <c r="F116" s="95"/>
      <c r="G116" s="96"/>
      <c r="H116" s="96"/>
      <c r="I116" s="59"/>
      <c r="J116" s="59"/>
      <c r="K116" s="95"/>
      <c r="L116" s="95"/>
      <c r="M116" s="59"/>
      <c r="N116" s="59"/>
      <c r="O116" s="95"/>
      <c r="P116" s="59"/>
      <c r="Q116" s="59"/>
      <c r="R116" s="59"/>
      <c r="S116" s="97"/>
      <c r="T116" s="59"/>
      <c r="U116" s="98"/>
      <c r="V116" s="99"/>
      <c r="W116" s="98"/>
      <c r="X116" s="99"/>
      <c r="Y116" s="98"/>
      <c r="Z116" s="99"/>
      <c r="AA116" s="59"/>
      <c r="AB116" s="59"/>
      <c r="AC116" s="59"/>
      <c r="AD116" s="59"/>
      <c r="AE116" s="100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 t="s">
        <v>457</v>
      </c>
      <c r="DW116" s="59" t="s">
        <v>17</v>
      </c>
      <c r="DX116" s="59" t="s">
        <v>285</v>
      </c>
      <c r="DY116" s="59" t="s">
        <v>291</v>
      </c>
      <c r="DZ116" s="59" t="s">
        <v>459</v>
      </c>
      <c r="EA116" s="59">
        <v>640</v>
      </c>
      <c r="EB116" s="59">
        <v>2538</v>
      </c>
      <c r="EC116" s="59" t="s">
        <v>185</v>
      </c>
      <c r="ED116" s="59">
        <v>0.135</v>
      </c>
      <c r="EE116" s="59">
        <v>0.625</v>
      </c>
      <c r="EF116" s="59">
        <v>0.216</v>
      </c>
      <c r="EG116" s="196">
        <v>1.6</v>
      </c>
      <c r="EH116" s="59" t="s">
        <v>399</v>
      </c>
      <c r="EI116" s="103">
        <v>0.5</v>
      </c>
      <c r="EJ116" s="103">
        <v>0.5</v>
      </c>
      <c r="EK116" s="59">
        <v>0.025</v>
      </c>
      <c r="EL116" s="59">
        <v>0.271</v>
      </c>
      <c r="EM116" s="59" t="s">
        <v>400</v>
      </c>
      <c r="EN116" s="59">
        <v>0</v>
      </c>
      <c r="EO116" s="103">
        <v>0</v>
      </c>
      <c r="EP116" s="59">
        <v>0.15</v>
      </c>
      <c r="EQ116" s="59"/>
      <c r="ER116" s="59"/>
      <c r="ES116" s="59" t="s">
        <v>405</v>
      </c>
      <c r="ET116" s="103">
        <v>2</v>
      </c>
      <c r="EU116" s="59"/>
      <c r="EV116" s="103">
        <v>2</v>
      </c>
      <c r="EW116" s="103">
        <v>10</v>
      </c>
      <c r="EX116" s="103">
        <v>10</v>
      </c>
      <c r="EY116" s="59">
        <v>198.255</v>
      </c>
      <c r="EZ116" s="168">
        <v>199</v>
      </c>
      <c r="FA116" s="167">
        <v>1.2</v>
      </c>
      <c r="FB116" s="167">
        <v>1.2</v>
      </c>
      <c r="FC116" s="167" t="s">
        <v>400</v>
      </c>
      <c r="FD116" s="167" t="s">
        <v>400</v>
      </c>
      <c r="FE116" s="167" t="s">
        <v>400</v>
      </c>
      <c r="FF116" s="167" t="s">
        <v>400</v>
      </c>
      <c r="FG116" s="167" t="s">
        <v>400</v>
      </c>
      <c r="FH116" s="171" t="s">
        <v>400</v>
      </c>
      <c r="FI116" s="167" t="s">
        <v>400</v>
      </c>
      <c r="FJ116" s="167" t="s">
        <v>400</v>
      </c>
      <c r="FK116" s="167" t="s">
        <v>400</v>
      </c>
      <c r="FL116" s="167" t="s">
        <v>400</v>
      </c>
      <c r="FM116" s="167" t="s">
        <v>400</v>
      </c>
      <c r="FN116" s="167">
        <v>1</v>
      </c>
      <c r="FO116" s="167" t="s">
        <v>400</v>
      </c>
      <c r="FP116" s="167" t="s">
        <v>400</v>
      </c>
      <c r="FQ116" s="167" t="s">
        <v>400</v>
      </c>
      <c r="FR116" s="167" t="s">
        <v>400</v>
      </c>
      <c r="FS116" s="167">
        <v>1</v>
      </c>
      <c r="FT116" s="167"/>
      <c r="FU116" s="59"/>
      <c r="FV116" s="59"/>
      <c r="FW116" s="59"/>
      <c r="FX116" s="59"/>
      <c r="FY116" s="59"/>
      <c r="FZ116" s="59"/>
      <c r="GA116" s="59"/>
      <c r="GB116" s="59"/>
      <c r="GC116" s="59"/>
      <c r="GD116" s="59"/>
      <c r="GE116" s="59"/>
      <c r="GF116" s="59"/>
      <c r="GG116" s="59"/>
      <c r="GH116" s="59"/>
      <c r="GI116" s="59"/>
      <c r="GJ116" s="59"/>
      <c r="GK116" s="59"/>
      <c r="GL116" s="59"/>
      <c r="GM116" s="59"/>
      <c r="GN116" s="59"/>
      <c r="GO116" s="59"/>
      <c r="GP116" s="59"/>
      <c r="GQ116" s="59"/>
      <c r="GR116" s="59"/>
      <c r="GS116" s="59"/>
      <c r="GT116" s="59"/>
    </row>
    <row r="117" spans="1:202" ht="27" customHeight="1">
      <c r="A117" s="92"/>
      <c r="B117" s="93"/>
      <c r="C117" s="94"/>
      <c r="D117" s="94"/>
      <c r="E117" s="94"/>
      <c r="F117" s="95"/>
      <c r="G117" s="96"/>
      <c r="H117" s="96"/>
      <c r="I117" s="59"/>
      <c r="J117" s="59"/>
      <c r="K117" s="95"/>
      <c r="L117" s="95"/>
      <c r="M117" s="59"/>
      <c r="N117" s="59"/>
      <c r="O117" s="95"/>
      <c r="P117" s="59"/>
      <c r="Q117" s="59"/>
      <c r="R117" s="59"/>
      <c r="S117" s="97"/>
      <c r="T117" s="59"/>
      <c r="U117" s="98"/>
      <c r="V117" s="99"/>
      <c r="W117" s="98"/>
      <c r="X117" s="99"/>
      <c r="Y117" s="98"/>
      <c r="Z117" s="99"/>
      <c r="AA117" s="59"/>
      <c r="AB117" s="59"/>
      <c r="AC117" s="59"/>
      <c r="AD117" s="59"/>
      <c r="AE117" s="100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59"/>
      <c r="ES117" s="59"/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  <c r="FE117" s="59"/>
      <c r="FF117" s="59"/>
      <c r="FG117" s="59"/>
      <c r="FH117" s="59"/>
      <c r="FI117" s="59"/>
      <c r="FJ117" s="59"/>
      <c r="FK117" s="59"/>
      <c r="FL117" s="59"/>
      <c r="FM117" s="59"/>
      <c r="FN117" s="59"/>
      <c r="FO117" s="59"/>
      <c r="FP117" s="59"/>
      <c r="FQ117" s="59"/>
      <c r="FR117" s="59"/>
      <c r="FS117" s="59"/>
      <c r="FT117" s="59"/>
      <c r="FU117" s="59"/>
      <c r="FV117" s="59"/>
      <c r="FW117" s="59"/>
      <c r="FX117" s="59"/>
      <c r="FY117" s="59"/>
      <c r="FZ117" s="59"/>
      <c r="GA117" s="59"/>
      <c r="GB117" s="59"/>
      <c r="GC117" s="59"/>
      <c r="GD117" s="59"/>
      <c r="GE117" s="59"/>
      <c r="GF117" s="59"/>
      <c r="GG117" s="59"/>
      <c r="GH117" s="59"/>
      <c r="GI117" s="59"/>
      <c r="GJ117" s="59"/>
      <c r="GK117" s="59"/>
      <c r="GL117" s="59"/>
      <c r="GM117" s="59"/>
      <c r="GN117" s="59"/>
      <c r="GO117" s="59"/>
      <c r="GP117" s="59"/>
      <c r="GQ117" s="59"/>
      <c r="GR117" s="59"/>
      <c r="GS117" s="59"/>
      <c r="GT117" s="59"/>
    </row>
    <row r="118" spans="1:202" ht="27" customHeight="1">
      <c r="A118" s="92"/>
      <c r="B118" s="93" t="s">
        <v>186</v>
      </c>
      <c r="C118" s="94" t="s">
        <v>177</v>
      </c>
      <c r="D118" s="94" t="s">
        <v>177</v>
      </c>
      <c r="E118" s="94" t="s">
        <v>177</v>
      </c>
      <c r="F118" s="95" t="s">
        <v>178</v>
      </c>
      <c r="G118" s="96">
        <v>257400</v>
      </c>
      <c r="H118" s="96">
        <v>1581270</v>
      </c>
      <c r="I118" s="59" t="s">
        <v>179</v>
      </c>
      <c r="J118" s="59" t="s">
        <v>187</v>
      </c>
      <c r="K118" s="95">
        <v>800</v>
      </c>
      <c r="L118" s="95">
        <v>700</v>
      </c>
      <c r="M118" s="59">
        <v>2522</v>
      </c>
      <c r="N118" s="59" t="s">
        <v>181</v>
      </c>
      <c r="O118" s="95">
        <v>483</v>
      </c>
      <c r="P118" s="59">
        <v>13</v>
      </c>
      <c r="Q118" s="59">
        <v>5</v>
      </c>
      <c r="R118" s="59" t="s">
        <v>188</v>
      </c>
      <c r="S118" s="102" t="s">
        <v>184</v>
      </c>
      <c r="T118" s="59" t="s">
        <v>184</v>
      </c>
      <c r="U118" s="98">
        <v>238</v>
      </c>
      <c r="V118" s="99">
        <v>0.444</v>
      </c>
      <c r="W118" s="98">
        <v>244</v>
      </c>
      <c r="X118" s="99">
        <v>3.724</v>
      </c>
      <c r="Y118" s="98">
        <v>238</v>
      </c>
      <c r="Z118" s="99">
        <v>2.848</v>
      </c>
      <c r="AA118" s="59">
        <v>2538</v>
      </c>
      <c r="AB118" s="59">
        <v>2543</v>
      </c>
      <c r="AC118" s="59" t="s">
        <v>270</v>
      </c>
      <c r="AD118" s="59">
        <v>1.6</v>
      </c>
      <c r="AE118" s="100" t="s">
        <v>271</v>
      </c>
      <c r="AF118" s="59">
        <v>1.15</v>
      </c>
      <c r="AG118" s="59"/>
      <c r="AH118" s="59"/>
      <c r="AI118" s="59" t="s">
        <v>185</v>
      </c>
      <c r="AJ118" s="59" t="s">
        <v>185</v>
      </c>
      <c r="AK118" s="59" t="s">
        <v>185</v>
      </c>
      <c r="AL118" s="59" t="s">
        <v>185</v>
      </c>
      <c r="AM118" s="59" t="s">
        <v>185</v>
      </c>
      <c r="AN118" s="59" t="s">
        <v>185</v>
      </c>
      <c r="AO118" s="59" t="s">
        <v>185</v>
      </c>
      <c r="AP118" s="59" t="s">
        <v>185</v>
      </c>
      <c r="AQ118" s="59" t="s">
        <v>185</v>
      </c>
      <c r="AR118" s="59" t="s">
        <v>185</v>
      </c>
      <c r="AS118" s="59" t="s">
        <v>185</v>
      </c>
      <c r="AT118" s="59" t="s">
        <v>185</v>
      </c>
      <c r="AU118" s="59" t="s">
        <v>185</v>
      </c>
      <c r="AV118" s="59" t="s">
        <v>185</v>
      </c>
      <c r="AW118" s="59" t="s">
        <v>185</v>
      </c>
      <c r="AX118" s="59" t="s">
        <v>185</v>
      </c>
      <c r="AY118" s="59" t="s">
        <v>185</v>
      </c>
      <c r="AZ118" s="59" t="s">
        <v>185</v>
      </c>
      <c r="BA118" s="59" t="s">
        <v>185</v>
      </c>
      <c r="BB118" s="59" t="s">
        <v>185</v>
      </c>
      <c r="BC118" s="59" t="s">
        <v>185</v>
      </c>
      <c r="BD118" s="59" t="s">
        <v>185</v>
      </c>
      <c r="BE118" s="59" t="s">
        <v>185</v>
      </c>
      <c r="BF118" s="59" t="s">
        <v>185</v>
      </c>
      <c r="BG118" s="59" t="s">
        <v>185</v>
      </c>
      <c r="BH118" s="59" t="s">
        <v>185</v>
      </c>
      <c r="BI118" s="59" t="s">
        <v>185</v>
      </c>
      <c r="BJ118" s="59" t="s">
        <v>185</v>
      </c>
      <c r="BK118" s="59" t="s">
        <v>185</v>
      </c>
      <c r="BL118" s="59" t="s">
        <v>185</v>
      </c>
      <c r="BM118" s="59" t="s">
        <v>185</v>
      </c>
      <c r="BN118" s="59" t="s">
        <v>185</v>
      </c>
      <c r="BO118" s="59" t="s">
        <v>185</v>
      </c>
      <c r="BP118" s="59" t="s">
        <v>185</v>
      </c>
      <c r="BQ118" s="59" t="s">
        <v>185</v>
      </c>
      <c r="BR118" s="59" t="s">
        <v>185</v>
      </c>
      <c r="BS118" s="59" t="s">
        <v>185</v>
      </c>
      <c r="BT118" s="59" t="s">
        <v>185</v>
      </c>
      <c r="BU118" s="59" t="s">
        <v>185</v>
      </c>
      <c r="BV118" s="59" t="s">
        <v>185</v>
      </c>
      <c r="BW118" s="59" t="s">
        <v>185</v>
      </c>
      <c r="BX118" s="59" t="s">
        <v>185</v>
      </c>
      <c r="BY118" s="59" t="s">
        <v>185</v>
      </c>
      <c r="BZ118" s="59" t="s">
        <v>185</v>
      </c>
      <c r="CA118" s="59" t="s">
        <v>185</v>
      </c>
      <c r="CB118" s="59" t="s">
        <v>185</v>
      </c>
      <c r="CC118" s="59" t="s">
        <v>185</v>
      </c>
      <c r="CD118" s="59">
        <v>1</v>
      </c>
      <c r="CE118" s="59" t="s">
        <v>276</v>
      </c>
      <c r="CF118" s="59">
        <v>1</v>
      </c>
      <c r="CG118" s="59"/>
      <c r="CH118" s="59"/>
      <c r="CI118" s="59">
        <v>1</v>
      </c>
      <c r="CJ118" s="59" t="s">
        <v>274</v>
      </c>
      <c r="CK118" s="59">
        <v>40</v>
      </c>
      <c r="CL118" s="59">
        <v>1.5</v>
      </c>
      <c r="CM118" s="59">
        <v>1</v>
      </c>
      <c r="CN118" s="100" t="s">
        <v>278</v>
      </c>
      <c r="CO118" s="59">
        <v>1</v>
      </c>
      <c r="CP118" s="59" t="s">
        <v>185</v>
      </c>
      <c r="CQ118" s="59" t="s">
        <v>185</v>
      </c>
      <c r="CR118" s="59">
        <v>1</v>
      </c>
      <c r="CS118" s="59" t="s">
        <v>279</v>
      </c>
      <c r="CT118" s="59">
        <v>46.6</v>
      </c>
      <c r="CU118" s="59">
        <v>0.5</v>
      </c>
      <c r="CV118" s="59" t="s">
        <v>281</v>
      </c>
      <c r="CW118" s="59">
        <v>25</v>
      </c>
      <c r="CX118" s="59" t="s">
        <v>185</v>
      </c>
      <c r="CY118" s="59" t="s">
        <v>185</v>
      </c>
      <c r="CZ118" s="59" t="s">
        <v>185</v>
      </c>
      <c r="DA118" s="59" t="s">
        <v>185</v>
      </c>
      <c r="DB118" s="59" t="s">
        <v>185</v>
      </c>
      <c r="DC118" s="59" t="s">
        <v>185</v>
      </c>
      <c r="DD118" s="59">
        <v>46</v>
      </c>
      <c r="DE118" s="59" t="s">
        <v>185</v>
      </c>
      <c r="DF118" s="59" t="s">
        <v>185</v>
      </c>
      <c r="DG118" s="59" t="s">
        <v>185</v>
      </c>
      <c r="DH118" s="59" t="s">
        <v>185</v>
      </c>
      <c r="DI118" s="59" t="s">
        <v>185</v>
      </c>
      <c r="DJ118" s="59" t="s">
        <v>185</v>
      </c>
      <c r="DK118" s="59" t="s">
        <v>185</v>
      </c>
      <c r="DL118" s="59" t="s">
        <v>185</v>
      </c>
      <c r="DM118" s="59" t="s">
        <v>185</v>
      </c>
      <c r="DN118" s="59" t="s">
        <v>185</v>
      </c>
      <c r="DO118" s="59" t="s">
        <v>185</v>
      </c>
      <c r="DP118" s="59" t="s">
        <v>185</v>
      </c>
      <c r="DQ118" s="59" t="s">
        <v>185</v>
      </c>
      <c r="DR118" s="59" t="s">
        <v>185</v>
      </c>
      <c r="DS118" s="59" t="s">
        <v>185</v>
      </c>
      <c r="DT118" s="59" t="s">
        <v>185</v>
      </c>
      <c r="DU118" s="59" t="s">
        <v>185</v>
      </c>
      <c r="DV118" s="59" t="s">
        <v>282</v>
      </c>
      <c r="DW118" s="59" t="s">
        <v>17</v>
      </c>
      <c r="DX118" s="59" t="s">
        <v>285</v>
      </c>
      <c r="DY118" s="59" t="s">
        <v>286</v>
      </c>
      <c r="DZ118" s="59" t="s">
        <v>287</v>
      </c>
      <c r="EA118" s="99">
        <v>1.1</v>
      </c>
      <c r="EB118" s="59">
        <v>2538</v>
      </c>
      <c r="EC118" s="59">
        <v>2543</v>
      </c>
      <c r="ED118" s="103">
        <v>1.9</v>
      </c>
      <c r="EE118" s="99">
        <v>3.96</v>
      </c>
      <c r="EF118" s="99">
        <v>0.48</v>
      </c>
      <c r="EG118" s="59" t="s">
        <v>301</v>
      </c>
      <c r="EH118" s="102" t="s">
        <v>289</v>
      </c>
      <c r="EI118" s="103">
        <v>1.5</v>
      </c>
      <c r="EJ118" s="103">
        <v>1.2</v>
      </c>
      <c r="EK118" s="59">
        <v>0.018</v>
      </c>
      <c r="EL118" s="99">
        <v>0.68</v>
      </c>
      <c r="EM118" s="59">
        <v>0.07</v>
      </c>
      <c r="EN118" s="103">
        <v>1.5</v>
      </c>
      <c r="EO118" s="103">
        <v>0.2</v>
      </c>
      <c r="EP118" s="103">
        <v>0.2</v>
      </c>
      <c r="EQ118" s="59">
        <v>2</v>
      </c>
      <c r="ER118" s="59">
        <v>2</v>
      </c>
      <c r="ES118" s="104">
        <v>0</v>
      </c>
      <c r="ET118" s="104">
        <v>0</v>
      </c>
      <c r="EU118" s="104">
        <v>0</v>
      </c>
      <c r="EV118" s="104">
        <v>0</v>
      </c>
      <c r="EW118" s="103">
        <v>20</v>
      </c>
      <c r="EX118" s="103">
        <v>25</v>
      </c>
      <c r="EY118" s="103">
        <v>239.5</v>
      </c>
      <c r="EZ118" s="103">
        <v>237.8</v>
      </c>
      <c r="FA118" s="59">
        <v>1.5</v>
      </c>
      <c r="FB118" s="59">
        <v>2</v>
      </c>
      <c r="FC118" s="104">
        <v>0</v>
      </c>
      <c r="FD118" s="104">
        <v>0</v>
      </c>
      <c r="FE118" s="104">
        <v>0</v>
      </c>
      <c r="FF118" s="104">
        <v>0</v>
      </c>
      <c r="FG118" s="104">
        <v>0</v>
      </c>
      <c r="FH118" s="104">
        <v>0</v>
      </c>
      <c r="FI118" s="104">
        <v>0</v>
      </c>
      <c r="FJ118" s="104">
        <v>0</v>
      </c>
      <c r="FK118" s="59">
        <v>2</v>
      </c>
      <c r="FL118" s="104">
        <v>0</v>
      </c>
      <c r="FM118" s="104">
        <v>0</v>
      </c>
      <c r="FN118" s="104">
        <v>0</v>
      </c>
      <c r="FO118" s="104">
        <v>0</v>
      </c>
      <c r="FP118" s="59">
        <v>1</v>
      </c>
      <c r="FQ118" s="104">
        <v>0</v>
      </c>
      <c r="FR118" s="59">
        <v>2</v>
      </c>
      <c r="FS118" s="104">
        <v>0</v>
      </c>
      <c r="FT118" s="104">
        <v>0</v>
      </c>
      <c r="FU118" s="104">
        <v>0</v>
      </c>
      <c r="FV118" s="104">
        <v>0</v>
      </c>
      <c r="FW118" s="104">
        <v>0</v>
      </c>
      <c r="FX118" s="104">
        <v>0</v>
      </c>
      <c r="FY118" s="104">
        <v>0</v>
      </c>
      <c r="FZ118" s="104">
        <v>0</v>
      </c>
      <c r="GA118" s="104">
        <v>0</v>
      </c>
      <c r="GB118" s="104">
        <v>0</v>
      </c>
      <c r="GC118" s="104">
        <v>0</v>
      </c>
      <c r="GD118" s="104">
        <v>0</v>
      </c>
      <c r="GE118" s="104">
        <v>0</v>
      </c>
      <c r="GF118" s="104">
        <v>0</v>
      </c>
      <c r="GG118" s="104">
        <v>0</v>
      </c>
      <c r="GH118" s="104">
        <v>0</v>
      </c>
      <c r="GI118" s="104">
        <v>0</v>
      </c>
      <c r="GJ118" s="104">
        <v>0</v>
      </c>
      <c r="GK118" s="104">
        <v>0</v>
      </c>
      <c r="GL118" s="104">
        <v>0</v>
      </c>
      <c r="GM118" s="104">
        <v>0</v>
      </c>
      <c r="GN118" s="104">
        <v>0</v>
      </c>
      <c r="GO118" s="104">
        <v>0</v>
      </c>
      <c r="GP118" s="104">
        <v>0</v>
      </c>
      <c r="GQ118" s="104">
        <v>0</v>
      </c>
      <c r="GR118" s="104">
        <v>0</v>
      </c>
      <c r="GS118" s="104">
        <v>0</v>
      </c>
      <c r="GT118" s="104">
        <v>0</v>
      </c>
    </row>
    <row r="119" spans="1:202" ht="27" customHeight="1">
      <c r="A119" s="92"/>
      <c r="B119" s="93"/>
      <c r="C119" s="94"/>
      <c r="D119" s="94"/>
      <c r="E119" s="94"/>
      <c r="F119" s="95"/>
      <c r="G119" s="96"/>
      <c r="H119" s="96"/>
      <c r="I119" s="59"/>
      <c r="J119" s="59"/>
      <c r="K119" s="95"/>
      <c r="L119" s="95"/>
      <c r="M119" s="59"/>
      <c r="N119" s="59"/>
      <c r="O119" s="95"/>
      <c r="P119" s="59"/>
      <c r="Q119" s="59"/>
      <c r="R119" s="59"/>
      <c r="S119" s="102"/>
      <c r="T119" s="59"/>
      <c r="U119" s="98"/>
      <c r="V119" s="99"/>
      <c r="W119" s="98"/>
      <c r="X119" s="99"/>
      <c r="Y119" s="98"/>
      <c r="Z119" s="99"/>
      <c r="AA119" s="59"/>
      <c r="AB119" s="59"/>
      <c r="AC119" s="59"/>
      <c r="AD119" s="59"/>
      <c r="AE119" s="100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100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 t="s">
        <v>283</v>
      </c>
      <c r="DW119" s="59" t="s">
        <v>284</v>
      </c>
      <c r="DX119" s="59" t="s">
        <v>285</v>
      </c>
      <c r="DY119" s="59" t="s">
        <v>286</v>
      </c>
      <c r="DZ119" s="59" t="s">
        <v>288</v>
      </c>
      <c r="EA119" s="99">
        <v>1.553</v>
      </c>
      <c r="EB119" s="59">
        <v>2538</v>
      </c>
      <c r="EC119" s="59" t="s">
        <v>185</v>
      </c>
      <c r="ED119" s="103">
        <v>0.6</v>
      </c>
      <c r="EE119" s="99">
        <v>1.575</v>
      </c>
      <c r="EF119" s="99">
        <v>0.381</v>
      </c>
      <c r="EG119" s="59" t="s">
        <v>301</v>
      </c>
      <c r="EH119" s="102" t="s">
        <v>289</v>
      </c>
      <c r="EI119" s="103">
        <v>0.4</v>
      </c>
      <c r="EJ119" s="103">
        <v>0.9</v>
      </c>
      <c r="EK119" s="59">
        <v>0.018</v>
      </c>
      <c r="EL119" s="99">
        <v>0.486</v>
      </c>
      <c r="EM119" s="59">
        <v>0.07</v>
      </c>
      <c r="EN119" s="103">
        <v>1.1</v>
      </c>
      <c r="EO119" s="103">
        <v>0.2</v>
      </c>
      <c r="EP119" s="103">
        <v>0.2</v>
      </c>
      <c r="EQ119" s="103">
        <v>1.3</v>
      </c>
      <c r="ER119" s="103">
        <v>1.3</v>
      </c>
      <c r="ES119" s="104">
        <v>0</v>
      </c>
      <c r="ET119" s="104">
        <v>0</v>
      </c>
      <c r="EU119" s="104">
        <v>0</v>
      </c>
      <c r="EV119" s="104">
        <v>0</v>
      </c>
      <c r="EW119" s="104">
        <v>0</v>
      </c>
      <c r="EX119" s="104">
        <v>0</v>
      </c>
      <c r="EY119" s="103">
        <v>240</v>
      </c>
      <c r="EZ119" s="103">
        <v>238.53</v>
      </c>
      <c r="FA119" s="59">
        <v>1</v>
      </c>
      <c r="FB119" s="59">
        <v>1</v>
      </c>
      <c r="FC119" s="104">
        <v>0</v>
      </c>
      <c r="FD119" s="59">
        <v>1</v>
      </c>
      <c r="FE119" s="59">
        <v>1</v>
      </c>
      <c r="FF119" s="59">
        <v>1</v>
      </c>
      <c r="FG119" s="104">
        <v>0</v>
      </c>
      <c r="FH119" s="104">
        <v>0</v>
      </c>
      <c r="FI119" s="59">
        <v>1</v>
      </c>
      <c r="FJ119" s="104">
        <v>0</v>
      </c>
      <c r="FK119" s="59">
        <v>4</v>
      </c>
      <c r="FL119" s="104">
        <v>0</v>
      </c>
      <c r="FM119" s="104">
        <v>0</v>
      </c>
      <c r="FN119" s="104">
        <v>0</v>
      </c>
      <c r="FO119" s="104">
        <v>0</v>
      </c>
      <c r="FP119" s="104">
        <v>0</v>
      </c>
      <c r="FQ119" s="104">
        <v>0</v>
      </c>
      <c r="FR119" s="59">
        <v>8</v>
      </c>
      <c r="FS119" s="104">
        <v>0</v>
      </c>
      <c r="FT119" s="104">
        <v>0</v>
      </c>
      <c r="FU119" s="104">
        <v>0</v>
      </c>
      <c r="FV119" s="104">
        <v>0</v>
      </c>
      <c r="FW119" s="104">
        <v>0</v>
      </c>
      <c r="FX119" s="104">
        <v>0</v>
      </c>
      <c r="FY119" s="104">
        <v>0</v>
      </c>
      <c r="FZ119" s="104">
        <v>0</v>
      </c>
      <c r="GA119" s="104">
        <v>0</v>
      </c>
      <c r="GB119" s="104">
        <v>0</v>
      </c>
      <c r="GC119" s="104">
        <v>0</v>
      </c>
      <c r="GD119" s="104">
        <v>0</v>
      </c>
      <c r="GE119" s="104">
        <v>0</v>
      </c>
      <c r="GF119" s="104">
        <v>0</v>
      </c>
      <c r="GG119" s="104">
        <v>0</v>
      </c>
      <c r="GH119" s="104">
        <v>0</v>
      </c>
      <c r="GI119" s="104">
        <v>0</v>
      </c>
      <c r="GJ119" s="104">
        <v>0</v>
      </c>
      <c r="GK119" s="104">
        <v>0</v>
      </c>
      <c r="GL119" s="104">
        <v>0</v>
      </c>
      <c r="GM119" s="104">
        <v>0</v>
      </c>
      <c r="GN119" s="104">
        <v>0</v>
      </c>
      <c r="GO119" s="104">
        <v>0</v>
      </c>
      <c r="GP119" s="104">
        <v>0</v>
      </c>
      <c r="GQ119" s="104">
        <v>0</v>
      </c>
      <c r="GR119" s="104">
        <v>0</v>
      </c>
      <c r="GS119" s="104">
        <v>0</v>
      </c>
      <c r="GT119" s="104">
        <v>0</v>
      </c>
    </row>
    <row r="120" spans="1:202" ht="27" customHeight="1">
      <c r="A120" s="92"/>
      <c r="B120" s="93"/>
      <c r="C120" s="94"/>
      <c r="D120" s="94"/>
      <c r="E120" s="94"/>
      <c r="F120" s="95"/>
      <c r="G120" s="96"/>
      <c r="H120" s="96"/>
      <c r="I120" s="59"/>
      <c r="J120" s="59"/>
      <c r="K120" s="95"/>
      <c r="L120" s="95"/>
      <c r="M120" s="59"/>
      <c r="N120" s="59"/>
      <c r="O120" s="95"/>
      <c r="P120" s="59"/>
      <c r="Q120" s="59"/>
      <c r="R120" s="59"/>
      <c r="S120" s="102"/>
      <c r="T120" s="59"/>
      <c r="U120" s="98"/>
      <c r="V120" s="99"/>
      <c r="W120" s="98"/>
      <c r="X120" s="99"/>
      <c r="Y120" s="98"/>
      <c r="Z120" s="99"/>
      <c r="AA120" s="59"/>
      <c r="AB120" s="59"/>
      <c r="AC120" s="59"/>
      <c r="AD120" s="59"/>
      <c r="AE120" s="100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100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X120" s="59"/>
      <c r="EA120" s="99"/>
      <c r="EB120" s="59"/>
      <c r="EC120" s="59"/>
      <c r="ED120" s="172"/>
      <c r="EE120" s="173"/>
      <c r="EF120" s="173"/>
      <c r="EH120" s="102"/>
      <c r="EI120" s="172"/>
      <c r="EJ120" s="172"/>
      <c r="EL120" s="173"/>
      <c r="EN120" s="172"/>
      <c r="EO120" s="103"/>
      <c r="EP120" s="103"/>
      <c r="EQ120" s="103"/>
      <c r="ER120" s="103"/>
      <c r="ES120" s="104"/>
      <c r="ET120" s="174"/>
      <c r="EU120" s="104"/>
      <c r="EV120" s="104"/>
      <c r="EW120" s="104"/>
      <c r="EX120" s="104"/>
      <c r="EY120" s="103"/>
      <c r="EZ120" s="103"/>
      <c r="FA120" s="59"/>
      <c r="FB120" s="59"/>
      <c r="FC120" s="104"/>
      <c r="FD120" s="59"/>
      <c r="FE120" s="59"/>
      <c r="FF120" s="59"/>
      <c r="FG120" s="104"/>
      <c r="FH120" s="104"/>
      <c r="FI120" s="59"/>
      <c r="FJ120" s="104"/>
      <c r="FK120" s="59"/>
      <c r="FL120" s="104"/>
      <c r="FM120" s="104"/>
      <c r="FN120" s="104"/>
      <c r="FO120" s="104"/>
      <c r="FP120" s="104"/>
      <c r="FQ120" s="104"/>
      <c r="FR120" s="59"/>
      <c r="FS120" s="104"/>
      <c r="FT120" s="104"/>
      <c r="FU120" s="104"/>
      <c r="FV120" s="104"/>
      <c r="FW120" s="104"/>
      <c r="FX120" s="104"/>
      <c r="FY120" s="104"/>
      <c r="FZ120" s="104"/>
      <c r="GA120" s="104"/>
      <c r="GB120" s="104"/>
      <c r="GC120" s="104"/>
      <c r="GD120" s="104"/>
      <c r="GE120" s="104"/>
      <c r="GF120" s="104"/>
      <c r="GG120" s="104"/>
      <c r="GH120" s="104"/>
      <c r="GI120" s="104"/>
      <c r="GJ120" s="104"/>
      <c r="GK120" s="104"/>
      <c r="GL120" s="104"/>
      <c r="GM120" s="104"/>
      <c r="GN120" s="104"/>
      <c r="GO120" s="104"/>
      <c r="GP120" s="104"/>
      <c r="GQ120" s="104"/>
      <c r="GR120" s="104"/>
      <c r="GS120" s="104"/>
      <c r="GT120" s="104"/>
    </row>
    <row r="121" spans="1:202" ht="27" customHeight="1">
      <c r="A121" s="92"/>
      <c r="B121" s="93" t="s">
        <v>189</v>
      </c>
      <c r="C121" s="94" t="s">
        <v>190</v>
      </c>
      <c r="D121" s="94" t="s">
        <v>191</v>
      </c>
      <c r="E121" s="105" t="s">
        <v>192</v>
      </c>
      <c r="F121" s="95" t="s">
        <v>178</v>
      </c>
      <c r="G121" s="96">
        <v>277890</v>
      </c>
      <c r="H121" s="96">
        <v>1584820</v>
      </c>
      <c r="I121" s="59" t="s">
        <v>179</v>
      </c>
      <c r="J121" s="59" t="s">
        <v>187</v>
      </c>
      <c r="K121" s="95">
        <v>31000</v>
      </c>
      <c r="L121" s="95">
        <v>27700</v>
      </c>
      <c r="M121" s="59">
        <v>2527</v>
      </c>
      <c r="N121" s="59" t="s">
        <v>181</v>
      </c>
      <c r="O121" s="95">
        <v>1050</v>
      </c>
      <c r="P121" s="59">
        <v>19</v>
      </c>
      <c r="Q121" s="59">
        <v>6</v>
      </c>
      <c r="R121" s="59" t="s">
        <v>182</v>
      </c>
      <c r="S121" s="59" t="s">
        <v>183</v>
      </c>
      <c r="T121" s="59" t="s">
        <v>184</v>
      </c>
      <c r="U121" s="98">
        <v>234</v>
      </c>
      <c r="V121" s="99">
        <v>1.2</v>
      </c>
      <c r="W121" s="98">
        <v>242.5</v>
      </c>
      <c r="X121" s="99">
        <v>36.6</v>
      </c>
      <c r="Y121" s="98">
        <v>234</v>
      </c>
      <c r="Z121" s="99">
        <v>25.4</v>
      </c>
      <c r="AA121" s="59">
        <v>2538</v>
      </c>
      <c r="AB121" s="59">
        <v>2543</v>
      </c>
      <c r="AC121" s="59" t="s">
        <v>270</v>
      </c>
      <c r="AD121" s="59">
        <v>2.6</v>
      </c>
      <c r="AE121" s="100" t="s">
        <v>271</v>
      </c>
      <c r="AF121" s="59">
        <v>2.15</v>
      </c>
      <c r="AG121" s="59"/>
      <c r="AH121" s="59"/>
      <c r="AI121" s="59" t="s">
        <v>185</v>
      </c>
      <c r="AJ121" s="59" t="s">
        <v>185</v>
      </c>
      <c r="AK121" s="59" t="s">
        <v>185</v>
      </c>
      <c r="AL121" s="59" t="s">
        <v>185</v>
      </c>
      <c r="AM121" s="59" t="s">
        <v>185</v>
      </c>
      <c r="AN121" s="59" t="s">
        <v>185</v>
      </c>
      <c r="AO121" s="59" t="s">
        <v>185</v>
      </c>
      <c r="AP121" s="59" t="s">
        <v>185</v>
      </c>
      <c r="AQ121" s="59" t="s">
        <v>185</v>
      </c>
      <c r="AR121" s="59" t="s">
        <v>185</v>
      </c>
      <c r="AS121" s="59" t="s">
        <v>185</v>
      </c>
      <c r="AT121" s="59" t="s">
        <v>185</v>
      </c>
      <c r="AU121" s="59" t="s">
        <v>185</v>
      </c>
      <c r="AV121" s="59" t="s">
        <v>185</v>
      </c>
      <c r="AW121" s="59" t="s">
        <v>185</v>
      </c>
      <c r="AX121" s="59" t="s">
        <v>185</v>
      </c>
      <c r="AY121" s="59" t="s">
        <v>185</v>
      </c>
      <c r="AZ121" s="59" t="s">
        <v>185</v>
      </c>
      <c r="BA121" s="59" t="s">
        <v>185</v>
      </c>
      <c r="BB121" s="59" t="s">
        <v>185</v>
      </c>
      <c r="BC121" s="59" t="s">
        <v>185</v>
      </c>
      <c r="BD121" s="59" t="s">
        <v>185</v>
      </c>
      <c r="BE121" s="59" t="s">
        <v>185</v>
      </c>
      <c r="BF121" s="59" t="s">
        <v>185</v>
      </c>
      <c r="BG121" s="59" t="s">
        <v>185</v>
      </c>
      <c r="BH121" s="59" t="s">
        <v>185</v>
      </c>
      <c r="BI121" s="59" t="s">
        <v>185</v>
      </c>
      <c r="BJ121" s="59" t="s">
        <v>185</v>
      </c>
      <c r="BK121" s="59" t="s">
        <v>185</v>
      </c>
      <c r="BL121" s="59" t="s">
        <v>185</v>
      </c>
      <c r="BM121" s="59" t="s">
        <v>185</v>
      </c>
      <c r="BN121" s="59" t="s">
        <v>185</v>
      </c>
      <c r="BO121" s="59" t="s">
        <v>185</v>
      </c>
      <c r="BP121" s="59" t="s">
        <v>185</v>
      </c>
      <c r="BQ121" s="59" t="s">
        <v>185</v>
      </c>
      <c r="BR121" s="59" t="s">
        <v>185</v>
      </c>
      <c r="BS121" s="59" t="s">
        <v>185</v>
      </c>
      <c r="BT121" s="59" t="s">
        <v>185</v>
      </c>
      <c r="BU121" s="59" t="s">
        <v>185</v>
      </c>
      <c r="BV121" s="59" t="s">
        <v>185</v>
      </c>
      <c r="BW121" s="59" t="s">
        <v>185</v>
      </c>
      <c r="BX121" s="59" t="s">
        <v>185</v>
      </c>
      <c r="BY121" s="59" t="s">
        <v>185</v>
      </c>
      <c r="BZ121" s="59" t="s">
        <v>185</v>
      </c>
      <c r="CA121" s="59" t="s">
        <v>185</v>
      </c>
      <c r="CB121" s="59" t="s">
        <v>185</v>
      </c>
      <c r="CC121" s="59" t="s">
        <v>185</v>
      </c>
      <c r="CD121" s="59">
        <v>1</v>
      </c>
      <c r="CE121" s="59" t="s">
        <v>275</v>
      </c>
      <c r="CF121" s="59">
        <v>1</v>
      </c>
      <c r="CG121" s="59"/>
      <c r="CH121" s="59"/>
      <c r="CI121" s="59">
        <v>1</v>
      </c>
      <c r="CJ121" s="59">
        <v>1.2</v>
      </c>
      <c r="CK121" s="59">
        <v>55.5</v>
      </c>
      <c r="CL121" s="59">
        <v>3.269</v>
      </c>
      <c r="CM121" s="59">
        <v>1</v>
      </c>
      <c r="CN121" s="59" t="s">
        <v>275</v>
      </c>
      <c r="CO121" s="59">
        <v>1</v>
      </c>
      <c r="CP121" s="59" t="s">
        <v>185</v>
      </c>
      <c r="CQ121" s="59" t="s">
        <v>185</v>
      </c>
      <c r="CR121" s="59">
        <v>1</v>
      </c>
      <c r="CS121" s="59">
        <v>1.2</v>
      </c>
      <c r="CT121" s="59">
        <v>56.5</v>
      </c>
      <c r="CU121" s="59">
        <v>2.434</v>
      </c>
      <c r="CV121" s="59" t="s">
        <v>281</v>
      </c>
      <c r="CW121" s="59">
        <v>72</v>
      </c>
      <c r="CX121" s="59" t="s">
        <v>185</v>
      </c>
      <c r="CY121" s="59" t="s">
        <v>185</v>
      </c>
      <c r="CZ121" s="59" t="s">
        <v>185</v>
      </c>
      <c r="DA121" s="59" t="s">
        <v>185</v>
      </c>
      <c r="DB121" s="59" t="s">
        <v>185</v>
      </c>
      <c r="DC121" s="59" t="s">
        <v>185</v>
      </c>
      <c r="DD121" s="59">
        <v>295</v>
      </c>
      <c r="DE121" s="59" t="s">
        <v>185</v>
      </c>
      <c r="DF121" s="59" t="s">
        <v>185</v>
      </c>
      <c r="DG121" s="59" t="s">
        <v>185</v>
      </c>
      <c r="DH121" s="59" t="s">
        <v>185</v>
      </c>
      <c r="DI121" s="59" t="s">
        <v>185</v>
      </c>
      <c r="DJ121" s="59" t="s">
        <v>185</v>
      </c>
      <c r="DK121" s="59" t="s">
        <v>185</v>
      </c>
      <c r="DL121" s="59" t="s">
        <v>185</v>
      </c>
      <c r="DM121" s="59" t="s">
        <v>185</v>
      </c>
      <c r="DN121" s="59" t="s">
        <v>185</v>
      </c>
      <c r="DO121" s="59" t="s">
        <v>185</v>
      </c>
      <c r="DP121" s="59" t="s">
        <v>185</v>
      </c>
      <c r="DQ121" s="59" t="s">
        <v>185</v>
      </c>
      <c r="DR121" s="59" t="s">
        <v>185</v>
      </c>
      <c r="DS121" s="59" t="s">
        <v>185</v>
      </c>
      <c r="DT121" s="59" t="s">
        <v>185</v>
      </c>
      <c r="DU121" s="59" t="s">
        <v>185</v>
      </c>
      <c r="DV121" s="59" t="s">
        <v>282</v>
      </c>
      <c r="DW121" s="197" t="s">
        <v>284</v>
      </c>
      <c r="DX121" s="59" t="s">
        <v>285</v>
      </c>
      <c r="DY121" s="198" t="s">
        <v>286</v>
      </c>
      <c r="DZ121" s="198" t="s">
        <v>290</v>
      </c>
      <c r="EA121" s="59">
        <f>3.403-0</f>
        <v>3.403</v>
      </c>
      <c r="EB121" s="59">
        <v>2538</v>
      </c>
      <c r="EC121" s="59" t="s">
        <v>185</v>
      </c>
      <c r="ED121" s="198">
        <v>3.269</v>
      </c>
      <c r="EE121" s="198">
        <v>5.929</v>
      </c>
      <c r="EF121" s="198">
        <v>0.551</v>
      </c>
      <c r="EG121" s="198" t="s">
        <v>300</v>
      </c>
      <c r="EH121" s="102" t="s">
        <v>289</v>
      </c>
      <c r="EI121" s="198">
        <v>1.5</v>
      </c>
      <c r="EJ121" s="198">
        <v>1.55</v>
      </c>
      <c r="EK121" s="198">
        <v>0.018</v>
      </c>
      <c r="EL121" s="198">
        <v>0.836</v>
      </c>
      <c r="EM121" s="198">
        <v>0.06</v>
      </c>
      <c r="EN121" s="198">
        <v>1.8</v>
      </c>
      <c r="EO121" s="103">
        <f aca="true" t="shared" si="7" ref="EO121:EO152">+EN121-EJ121</f>
        <v>0.25</v>
      </c>
      <c r="EP121" s="59">
        <v>0.15</v>
      </c>
      <c r="EQ121" s="104">
        <v>0</v>
      </c>
      <c r="ER121" s="104">
        <v>0</v>
      </c>
      <c r="ES121" s="104">
        <v>0</v>
      </c>
      <c r="ET121" s="198">
        <v>3</v>
      </c>
      <c r="EU121" s="104">
        <v>0</v>
      </c>
      <c r="EV121" s="198">
        <v>5</v>
      </c>
      <c r="EW121" s="198">
        <v>15</v>
      </c>
      <c r="EX121" s="198">
        <v>20</v>
      </c>
      <c r="EY121" s="104">
        <v>0</v>
      </c>
      <c r="EZ121" s="104">
        <v>0</v>
      </c>
      <c r="FA121" s="104">
        <v>0</v>
      </c>
      <c r="FB121" s="104">
        <v>0</v>
      </c>
      <c r="FC121" s="59"/>
      <c r="FD121" s="59"/>
      <c r="FE121" s="59"/>
      <c r="FF121" s="59"/>
      <c r="FG121" s="59"/>
      <c r="FH121" s="59"/>
      <c r="FI121" s="59"/>
      <c r="FJ121" s="59"/>
      <c r="FK121" s="59"/>
      <c r="FL121" s="59"/>
      <c r="FM121" s="59"/>
      <c r="FN121" s="59"/>
      <c r="FO121" s="59"/>
      <c r="FP121" s="59"/>
      <c r="FQ121" s="59"/>
      <c r="FR121" s="59"/>
      <c r="FS121" s="59"/>
      <c r="FT121" s="59"/>
      <c r="FU121" s="59"/>
      <c r="FV121" s="59"/>
      <c r="FW121" s="59"/>
      <c r="FX121" s="59"/>
      <c r="FY121" s="59"/>
      <c r="FZ121" s="59"/>
      <c r="GA121" s="59"/>
      <c r="GB121" s="59"/>
      <c r="GC121" s="59"/>
      <c r="GD121" s="59"/>
      <c r="GE121" s="59"/>
      <c r="GF121" s="59"/>
      <c r="GG121" s="59"/>
      <c r="GH121" s="59"/>
      <c r="GI121" s="59"/>
      <c r="GJ121" s="59"/>
      <c r="GK121" s="59"/>
      <c r="GL121" s="59"/>
      <c r="GM121" s="59"/>
      <c r="GN121" s="59"/>
      <c r="GO121" s="59"/>
      <c r="GP121" s="59"/>
      <c r="GQ121" s="59"/>
      <c r="GR121" s="59"/>
      <c r="GS121" s="59"/>
      <c r="GT121" s="59"/>
    </row>
    <row r="122" spans="1:202" ht="27" customHeight="1">
      <c r="A122" s="92"/>
      <c r="B122" s="93"/>
      <c r="C122" s="94"/>
      <c r="D122" s="94"/>
      <c r="E122" s="105"/>
      <c r="F122" s="95"/>
      <c r="G122" s="96"/>
      <c r="H122" s="96"/>
      <c r="I122" s="59"/>
      <c r="J122" s="59"/>
      <c r="K122" s="95"/>
      <c r="L122" s="95"/>
      <c r="M122" s="59"/>
      <c r="N122" s="59"/>
      <c r="O122" s="95"/>
      <c r="P122" s="59"/>
      <c r="Q122" s="59"/>
      <c r="R122" s="59"/>
      <c r="S122" s="59"/>
      <c r="T122" s="59"/>
      <c r="U122" s="98"/>
      <c r="V122" s="99"/>
      <c r="W122" s="98"/>
      <c r="X122" s="99"/>
      <c r="Y122" s="98"/>
      <c r="Z122" s="99"/>
      <c r="AA122" s="59"/>
      <c r="AB122" s="59"/>
      <c r="AC122" s="59"/>
      <c r="AD122" s="59"/>
      <c r="AE122" s="100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 t="s">
        <v>282</v>
      </c>
      <c r="DW122" s="197" t="s">
        <v>284</v>
      </c>
      <c r="DX122" s="59" t="s">
        <v>285</v>
      </c>
      <c r="DY122" s="198" t="s">
        <v>290</v>
      </c>
      <c r="DZ122" s="198" t="s">
        <v>291</v>
      </c>
      <c r="EA122" s="59">
        <f>3.55-3.403</f>
        <v>0.1469999999999998</v>
      </c>
      <c r="EB122" s="59">
        <v>2538</v>
      </c>
      <c r="EC122" s="59" t="s">
        <v>185</v>
      </c>
      <c r="ED122" s="198">
        <v>2.3</v>
      </c>
      <c r="EE122" s="198">
        <v>4.556</v>
      </c>
      <c r="EF122" s="198">
        <v>0.505</v>
      </c>
      <c r="EG122" s="198" t="s">
        <v>300</v>
      </c>
      <c r="EH122" s="102" t="s">
        <v>289</v>
      </c>
      <c r="EI122" s="198">
        <v>1.35</v>
      </c>
      <c r="EJ122" s="198">
        <v>1.35</v>
      </c>
      <c r="EK122" s="198">
        <v>0.018</v>
      </c>
      <c r="EL122" s="198">
        <v>0.733</v>
      </c>
      <c r="EM122" s="198">
        <v>0.06</v>
      </c>
      <c r="EN122" s="198">
        <v>1.6</v>
      </c>
      <c r="EO122" s="103">
        <f t="shared" si="7"/>
        <v>0.25</v>
      </c>
      <c r="EP122" s="59">
        <v>0.15</v>
      </c>
      <c r="EQ122" s="104">
        <v>0</v>
      </c>
      <c r="ER122" s="104">
        <v>0</v>
      </c>
      <c r="ES122" s="104">
        <v>0</v>
      </c>
      <c r="ET122" s="198">
        <v>3</v>
      </c>
      <c r="EU122" s="104">
        <v>0</v>
      </c>
      <c r="EV122" s="198">
        <v>5</v>
      </c>
      <c r="EW122" s="198">
        <v>15</v>
      </c>
      <c r="EX122" s="198">
        <v>20</v>
      </c>
      <c r="EY122" s="104">
        <v>0</v>
      </c>
      <c r="EZ122" s="104">
        <v>0</v>
      </c>
      <c r="FA122" s="104">
        <v>0</v>
      </c>
      <c r="FB122" s="104">
        <v>0</v>
      </c>
      <c r="FC122" s="59"/>
      <c r="FD122" s="59"/>
      <c r="FE122" s="59"/>
      <c r="FF122" s="59"/>
      <c r="FG122" s="59"/>
      <c r="FH122" s="59"/>
      <c r="FI122" s="59"/>
      <c r="FJ122" s="59"/>
      <c r="FK122" s="59"/>
      <c r="FL122" s="59"/>
      <c r="FM122" s="59"/>
      <c r="FN122" s="59"/>
      <c r="FO122" s="59"/>
      <c r="FP122" s="59"/>
      <c r="FQ122" s="59"/>
      <c r="FR122" s="59"/>
      <c r="FS122" s="59"/>
      <c r="FT122" s="59"/>
      <c r="FU122" s="59"/>
      <c r="FV122" s="59"/>
      <c r="FW122" s="59"/>
      <c r="FX122" s="59"/>
      <c r="FY122" s="59"/>
      <c r="FZ122" s="59"/>
      <c r="GA122" s="59"/>
      <c r="GB122" s="59"/>
      <c r="GC122" s="59"/>
      <c r="GD122" s="59"/>
      <c r="GE122" s="59"/>
      <c r="GF122" s="59"/>
      <c r="GG122" s="59"/>
      <c r="GH122" s="59"/>
      <c r="GI122" s="59"/>
      <c r="GJ122" s="59"/>
      <c r="GK122" s="59"/>
      <c r="GL122" s="59"/>
      <c r="GM122" s="59"/>
      <c r="GN122" s="59"/>
      <c r="GO122" s="59"/>
      <c r="GP122" s="59"/>
      <c r="GQ122" s="59"/>
      <c r="GR122" s="59"/>
      <c r="GS122" s="59"/>
      <c r="GT122" s="59"/>
    </row>
    <row r="123" spans="1:202" ht="27" customHeight="1">
      <c r="A123" s="92"/>
      <c r="B123" s="93"/>
      <c r="C123" s="94"/>
      <c r="D123" s="94"/>
      <c r="E123" s="105"/>
      <c r="F123" s="95"/>
      <c r="G123" s="96"/>
      <c r="H123" s="96"/>
      <c r="I123" s="59"/>
      <c r="J123" s="59"/>
      <c r="K123" s="95"/>
      <c r="L123" s="95"/>
      <c r="M123" s="59"/>
      <c r="N123" s="59"/>
      <c r="O123" s="95"/>
      <c r="P123" s="59"/>
      <c r="Q123" s="59"/>
      <c r="R123" s="59"/>
      <c r="S123" s="59"/>
      <c r="T123" s="59"/>
      <c r="U123" s="98"/>
      <c r="V123" s="99"/>
      <c r="W123" s="98"/>
      <c r="X123" s="99"/>
      <c r="Y123" s="98"/>
      <c r="Z123" s="99"/>
      <c r="AA123" s="59"/>
      <c r="AB123" s="59"/>
      <c r="AC123" s="59"/>
      <c r="AD123" s="59"/>
      <c r="AE123" s="100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 t="s">
        <v>282</v>
      </c>
      <c r="DW123" s="197" t="s">
        <v>385</v>
      </c>
      <c r="DX123" s="59" t="s">
        <v>285</v>
      </c>
      <c r="DY123" s="198" t="s">
        <v>291</v>
      </c>
      <c r="DZ123" s="198" t="s">
        <v>292</v>
      </c>
      <c r="EA123" s="59">
        <f>4.215-3.55</f>
        <v>0.665</v>
      </c>
      <c r="EB123" s="59">
        <v>2538</v>
      </c>
      <c r="EC123" s="59" t="s">
        <v>185</v>
      </c>
      <c r="ED123" s="198">
        <v>2.3</v>
      </c>
      <c r="EE123" s="104">
        <v>0</v>
      </c>
      <c r="EF123" s="104">
        <v>0</v>
      </c>
      <c r="EG123" s="104">
        <v>0</v>
      </c>
      <c r="EH123" s="104">
        <v>0</v>
      </c>
      <c r="EI123" s="104">
        <v>0</v>
      </c>
      <c r="EJ123" s="104">
        <v>0</v>
      </c>
      <c r="EK123" s="104">
        <v>0</v>
      </c>
      <c r="EL123" s="104">
        <v>0</v>
      </c>
      <c r="EM123" s="104">
        <v>0</v>
      </c>
      <c r="EN123" s="104">
        <v>0</v>
      </c>
      <c r="EO123" s="104">
        <v>0</v>
      </c>
      <c r="EP123" s="104">
        <v>0</v>
      </c>
      <c r="EQ123" s="104">
        <v>0</v>
      </c>
      <c r="ER123" s="104">
        <v>0</v>
      </c>
      <c r="ES123" s="104">
        <v>0</v>
      </c>
      <c r="ET123" s="104">
        <v>0</v>
      </c>
      <c r="EU123" s="104">
        <v>0</v>
      </c>
      <c r="EV123" s="104">
        <v>0</v>
      </c>
      <c r="EW123" s="104">
        <v>0</v>
      </c>
      <c r="EX123" s="104">
        <v>0</v>
      </c>
      <c r="EY123" s="104">
        <v>0</v>
      </c>
      <c r="EZ123" s="104">
        <v>0</v>
      </c>
      <c r="FA123" s="104">
        <v>0</v>
      </c>
      <c r="FB123" s="104">
        <v>0</v>
      </c>
      <c r="FC123" s="59"/>
      <c r="FD123" s="59"/>
      <c r="FE123" s="59"/>
      <c r="FF123" s="59"/>
      <c r="FG123" s="59"/>
      <c r="FH123" s="59"/>
      <c r="FI123" s="59"/>
      <c r="FJ123" s="59"/>
      <c r="FK123" s="59"/>
      <c r="FL123" s="59"/>
      <c r="FM123" s="59"/>
      <c r="FN123" s="59"/>
      <c r="FO123" s="59"/>
      <c r="FP123" s="59"/>
      <c r="FQ123" s="59"/>
      <c r="FR123" s="59"/>
      <c r="FS123" s="59"/>
      <c r="FT123" s="59"/>
      <c r="FU123" s="59"/>
      <c r="FV123" s="59"/>
      <c r="FW123" s="59"/>
      <c r="FX123" s="59"/>
      <c r="FY123" s="59"/>
      <c r="FZ123" s="59"/>
      <c r="GA123" s="59"/>
      <c r="GB123" s="59"/>
      <c r="GC123" s="59"/>
      <c r="GD123" s="59"/>
      <c r="GE123" s="59"/>
      <c r="GF123" s="59"/>
      <c r="GG123" s="59"/>
      <c r="GH123" s="59"/>
      <c r="GI123" s="59"/>
      <c r="GJ123" s="59"/>
      <c r="GK123" s="59"/>
      <c r="GL123" s="59"/>
      <c r="GM123" s="59"/>
      <c r="GN123" s="59"/>
      <c r="GO123" s="59"/>
      <c r="GP123" s="59"/>
      <c r="GQ123" s="59"/>
      <c r="GR123" s="59"/>
      <c r="GS123" s="59"/>
      <c r="GT123" s="59"/>
    </row>
    <row r="124" spans="1:202" ht="27" customHeight="1">
      <c r="A124" s="92"/>
      <c r="B124" s="93"/>
      <c r="C124" s="94"/>
      <c r="D124" s="94"/>
      <c r="E124" s="105"/>
      <c r="F124" s="95"/>
      <c r="G124" s="96"/>
      <c r="H124" s="96"/>
      <c r="I124" s="59"/>
      <c r="J124" s="59"/>
      <c r="K124" s="95"/>
      <c r="L124" s="95"/>
      <c r="M124" s="59"/>
      <c r="N124" s="59"/>
      <c r="O124" s="95"/>
      <c r="P124" s="59"/>
      <c r="Q124" s="59"/>
      <c r="R124" s="59"/>
      <c r="S124" s="59"/>
      <c r="T124" s="59"/>
      <c r="U124" s="98"/>
      <c r="V124" s="99"/>
      <c r="W124" s="98"/>
      <c r="X124" s="99"/>
      <c r="Y124" s="98"/>
      <c r="Z124" s="99"/>
      <c r="AA124" s="59"/>
      <c r="AB124" s="59"/>
      <c r="AC124" s="59"/>
      <c r="AD124" s="59"/>
      <c r="AE124" s="100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 t="s">
        <v>282</v>
      </c>
      <c r="DW124" s="197" t="s">
        <v>284</v>
      </c>
      <c r="DX124" s="59" t="s">
        <v>285</v>
      </c>
      <c r="DY124" s="198" t="s">
        <v>292</v>
      </c>
      <c r="DZ124" s="198" t="s">
        <v>293</v>
      </c>
      <c r="EA124" s="59">
        <f>9.3-4.215</f>
        <v>5.085000000000001</v>
      </c>
      <c r="EB124" s="59">
        <v>2538</v>
      </c>
      <c r="EC124" s="59" t="s">
        <v>185</v>
      </c>
      <c r="ED124" s="198">
        <v>2.3</v>
      </c>
      <c r="EE124" s="198">
        <v>4.556</v>
      </c>
      <c r="EF124" s="198">
        <v>0.505</v>
      </c>
      <c r="EG124" s="198" t="s">
        <v>300</v>
      </c>
      <c r="EH124" s="102" t="s">
        <v>289</v>
      </c>
      <c r="EI124" s="198">
        <v>1.35</v>
      </c>
      <c r="EJ124" s="198">
        <v>1.35</v>
      </c>
      <c r="EK124" s="198">
        <v>0.018</v>
      </c>
      <c r="EL124" s="198">
        <v>0.733</v>
      </c>
      <c r="EM124" s="198">
        <v>0.06</v>
      </c>
      <c r="EN124" s="198">
        <v>1.6</v>
      </c>
      <c r="EO124" s="103">
        <f t="shared" si="7"/>
        <v>0.25</v>
      </c>
      <c r="EP124" s="59">
        <v>0.15</v>
      </c>
      <c r="EQ124" s="104">
        <v>0</v>
      </c>
      <c r="ER124" s="104">
        <v>0</v>
      </c>
      <c r="ES124" s="104">
        <v>0</v>
      </c>
      <c r="ET124" s="198">
        <v>3</v>
      </c>
      <c r="EU124" s="104">
        <v>0</v>
      </c>
      <c r="EV124" s="198">
        <v>5</v>
      </c>
      <c r="EW124" s="198">
        <v>15</v>
      </c>
      <c r="EX124" s="198">
        <v>20</v>
      </c>
      <c r="EY124" s="104">
        <v>0</v>
      </c>
      <c r="EZ124" s="104">
        <v>0</v>
      </c>
      <c r="FA124" s="104">
        <v>0</v>
      </c>
      <c r="FB124" s="104">
        <v>0</v>
      </c>
      <c r="FC124" s="59"/>
      <c r="FD124" s="59"/>
      <c r="FE124" s="59"/>
      <c r="FF124" s="59"/>
      <c r="FG124" s="59"/>
      <c r="FH124" s="59"/>
      <c r="FI124" s="59"/>
      <c r="FJ124" s="59"/>
      <c r="FK124" s="59"/>
      <c r="FL124" s="59"/>
      <c r="FM124" s="59"/>
      <c r="FN124" s="59"/>
      <c r="FO124" s="59"/>
      <c r="FP124" s="59"/>
      <c r="FQ124" s="59"/>
      <c r="FR124" s="59"/>
      <c r="FS124" s="59"/>
      <c r="FT124" s="59"/>
      <c r="FU124" s="59"/>
      <c r="FV124" s="59"/>
      <c r="FW124" s="59"/>
      <c r="FX124" s="59"/>
      <c r="FY124" s="59"/>
      <c r="FZ124" s="59"/>
      <c r="GA124" s="59"/>
      <c r="GB124" s="59"/>
      <c r="GC124" s="59"/>
      <c r="GD124" s="59"/>
      <c r="GE124" s="59"/>
      <c r="GF124" s="59"/>
      <c r="GG124" s="59"/>
      <c r="GH124" s="59"/>
      <c r="GI124" s="59"/>
      <c r="GJ124" s="59"/>
      <c r="GK124" s="59"/>
      <c r="GL124" s="59"/>
      <c r="GM124" s="59"/>
      <c r="GN124" s="59"/>
      <c r="GO124" s="59"/>
      <c r="GP124" s="59"/>
      <c r="GQ124" s="59"/>
      <c r="GR124" s="59"/>
      <c r="GS124" s="59"/>
      <c r="GT124" s="59"/>
    </row>
    <row r="125" spans="1:202" ht="27" customHeight="1">
      <c r="A125" s="92"/>
      <c r="B125" s="93"/>
      <c r="C125" s="94"/>
      <c r="D125" s="94"/>
      <c r="E125" s="105"/>
      <c r="F125" s="95"/>
      <c r="G125" s="96"/>
      <c r="H125" s="96"/>
      <c r="I125" s="59"/>
      <c r="J125" s="59"/>
      <c r="K125" s="95"/>
      <c r="L125" s="95"/>
      <c r="M125" s="59"/>
      <c r="N125" s="59"/>
      <c r="O125" s="95"/>
      <c r="P125" s="59"/>
      <c r="Q125" s="59"/>
      <c r="R125" s="59"/>
      <c r="S125" s="59"/>
      <c r="T125" s="59"/>
      <c r="U125" s="98"/>
      <c r="V125" s="99"/>
      <c r="W125" s="98"/>
      <c r="X125" s="99"/>
      <c r="Y125" s="98"/>
      <c r="Z125" s="99"/>
      <c r="AA125" s="59"/>
      <c r="AB125" s="59"/>
      <c r="AC125" s="59"/>
      <c r="AD125" s="59"/>
      <c r="AE125" s="100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 t="s">
        <v>282</v>
      </c>
      <c r="DW125" s="197" t="s">
        <v>284</v>
      </c>
      <c r="DX125" s="59" t="s">
        <v>285</v>
      </c>
      <c r="DY125" s="198" t="s">
        <v>293</v>
      </c>
      <c r="DZ125" s="198" t="s">
        <v>294</v>
      </c>
      <c r="EA125" s="59">
        <f>9.89-9.3</f>
        <v>0.5899999999999999</v>
      </c>
      <c r="EB125" s="59">
        <v>2538</v>
      </c>
      <c r="EC125" s="59" t="s">
        <v>185</v>
      </c>
      <c r="ED125" s="198">
        <v>1.385</v>
      </c>
      <c r="EE125" s="198">
        <v>3.114</v>
      </c>
      <c r="EF125" s="198">
        <v>0.445</v>
      </c>
      <c r="EG125" s="198" t="s">
        <v>300</v>
      </c>
      <c r="EH125" s="102" t="s">
        <v>289</v>
      </c>
      <c r="EI125" s="198">
        <v>1.1</v>
      </c>
      <c r="EJ125" s="198">
        <v>1.12</v>
      </c>
      <c r="EK125" s="198">
        <v>0.018</v>
      </c>
      <c r="EL125" s="198">
        <v>0.606</v>
      </c>
      <c r="EM125" s="198">
        <v>0.06</v>
      </c>
      <c r="EN125" s="198">
        <v>1.35</v>
      </c>
      <c r="EO125" s="103">
        <f t="shared" si="7"/>
        <v>0.22999999999999998</v>
      </c>
      <c r="EP125" s="59">
        <v>0.15</v>
      </c>
      <c r="EQ125" s="104">
        <v>0</v>
      </c>
      <c r="ER125" s="104">
        <v>0</v>
      </c>
      <c r="ES125" s="104">
        <v>0</v>
      </c>
      <c r="ET125" s="198">
        <v>3</v>
      </c>
      <c r="EU125" s="104">
        <v>0</v>
      </c>
      <c r="EV125" s="198">
        <v>5</v>
      </c>
      <c r="EW125" s="198">
        <v>15</v>
      </c>
      <c r="EX125" s="198">
        <v>20</v>
      </c>
      <c r="EY125" s="104">
        <v>0</v>
      </c>
      <c r="EZ125" s="104">
        <v>0</v>
      </c>
      <c r="FA125" s="104">
        <v>0</v>
      </c>
      <c r="FB125" s="104">
        <v>0</v>
      </c>
      <c r="FC125" s="59"/>
      <c r="FD125" s="59"/>
      <c r="FE125" s="59"/>
      <c r="FF125" s="59"/>
      <c r="FG125" s="59"/>
      <c r="FH125" s="59"/>
      <c r="FI125" s="59"/>
      <c r="FJ125" s="59"/>
      <c r="FK125" s="59"/>
      <c r="FL125" s="59"/>
      <c r="FM125" s="59"/>
      <c r="FN125" s="59"/>
      <c r="FO125" s="59"/>
      <c r="FP125" s="59"/>
      <c r="FQ125" s="59"/>
      <c r="FR125" s="59"/>
      <c r="FS125" s="59"/>
      <c r="FT125" s="59"/>
      <c r="FU125" s="59"/>
      <c r="FV125" s="59"/>
      <c r="FW125" s="59"/>
      <c r="FX125" s="59"/>
      <c r="FY125" s="59"/>
      <c r="FZ125" s="59"/>
      <c r="GA125" s="59"/>
      <c r="GB125" s="59"/>
      <c r="GC125" s="59"/>
      <c r="GD125" s="59"/>
      <c r="GE125" s="59"/>
      <c r="GF125" s="59"/>
      <c r="GG125" s="59"/>
      <c r="GH125" s="59"/>
      <c r="GI125" s="59"/>
      <c r="GJ125" s="59"/>
      <c r="GK125" s="59"/>
      <c r="GL125" s="59"/>
      <c r="GM125" s="59"/>
      <c r="GN125" s="59"/>
      <c r="GO125" s="59"/>
      <c r="GP125" s="59"/>
      <c r="GQ125" s="59"/>
      <c r="GR125" s="59"/>
      <c r="GS125" s="59"/>
      <c r="GT125" s="59"/>
    </row>
    <row r="126" spans="1:202" ht="27" customHeight="1">
      <c r="A126" s="92"/>
      <c r="B126" s="93"/>
      <c r="C126" s="94"/>
      <c r="D126" s="94"/>
      <c r="E126" s="105"/>
      <c r="F126" s="95"/>
      <c r="G126" s="96"/>
      <c r="H126" s="96"/>
      <c r="I126" s="59"/>
      <c r="J126" s="59"/>
      <c r="K126" s="95"/>
      <c r="L126" s="95"/>
      <c r="M126" s="59"/>
      <c r="N126" s="59"/>
      <c r="O126" s="95"/>
      <c r="P126" s="59"/>
      <c r="Q126" s="59"/>
      <c r="R126" s="59"/>
      <c r="S126" s="59"/>
      <c r="T126" s="59"/>
      <c r="U126" s="98"/>
      <c r="V126" s="99"/>
      <c r="W126" s="98"/>
      <c r="X126" s="99"/>
      <c r="Y126" s="98"/>
      <c r="Z126" s="99"/>
      <c r="AA126" s="59"/>
      <c r="AB126" s="59"/>
      <c r="AC126" s="59"/>
      <c r="AD126" s="59"/>
      <c r="AE126" s="100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 t="s">
        <v>282</v>
      </c>
      <c r="DW126" s="197" t="s">
        <v>385</v>
      </c>
      <c r="DX126" s="59" t="s">
        <v>285</v>
      </c>
      <c r="DY126" s="198" t="s">
        <v>294</v>
      </c>
      <c r="DZ126" s="198" t="s">
        <v>295</v>
      </c>
      <c r="EA126" s="59">
        <f>10.29-9.89</f>
        <v>0.3999999999999986</v>
      </c>
      <c r="EB126" s="59">
        <v>2538</v>
      </c>
      <c r="EC126" s="59" t="s">
        <v>185</v>
      </c>
      <c r="ED126" s="198">
        <v>1.385</v>
      </c>
      <c r="EE126" s="104">
        <v>0</v>
      </c>
      <c r="EF126" s="104">
        <v>0</v>
      </c>
      <c r="EG126" s="104">
        <v>0</v>
      </c>
      <c r="EH126" s="104">
        <v>0</v>
      </c>
      <c r="EI126" s="104">
        <v>0</v>
      </c>
      <c r="EJ126" s="104">
        <v>0</v>
      </c>
      <c r="EK126" s="104">
        <v>0</v>
      </c>
      <c r="EL126" s="104">
        <v>0</v>
      </c>
      <c r="EM126" s="104">
        <v>0</v>
      </c>
      <c r="EN126" s="104">
        <v>0</v>
      </c>
      <c r="EO126" s="104">
        <v>0</v>
      </c>
      <c r="EP126" s="104">
        <v>0</v>
      </c>
      <c r="EQ126" s="104">
        <v>0</v>
      </c>
      <c r="ER126" s="104">
        <v>0</v>
      </c>
      <c r="ES126" s="104">
        <v>0</v>
      </c>
      <c r="ET126" s="104">
        <v>0</v>
      </c>
      <c r="EU126" s="104">
        <v>0</v>
      </c>
      <c r="EV126" s="104">
        <v>0</v>
      </c>
      <c r="EW126" s="104">
        <v>0</v>
      </c>
      <c r="EX126" s="104">
        <v>0</v>
      </c>
      <c r="EY126" s="104">
        <v>0</v>
      </c>
      <c r="EZ126" s="104">
        <v>0</v>
      </c>
      <c r="FA126" s="104">
        <v>0</v>
      </c>
      <c r="FB126" s="104">
        <v>0</v>
      </c>
      <c r="FC126" s="59"/>
      <c r="FD126" s="59"/>
      <c r="FE126" s="59"/>
      <c r="FF126" s="59"/>
      <c r="FG126" s="59"/>
      <c r="FH126" s="59"/>
      <c r="FI126" s="59"/>
      <c r="FJ126" s="59"/>
      <c r="FK126" s="59"/>
      <c r="FL126" s="59"/>
      <c r="FM126" s="59"/>
      <c r="FN126" s="59"/>
      <c r="FO126" s="59"/>
      <c r="FP126" s="59"/>
      <c r="FQ126" s="59"/>
      <c r="FR126" s="59"/>
      <c r="FS126" s="59"/>
      <c r="FT126" s="59"/>
      <c r="FU126" s="59"/>
      <c r="FV126" s="59"/>
      <c r="FW126" s="59"/>
      <c r="FX126" s="59"/>
      <c r="FY126" s="59"/>
      <c r="FZ126" s="59"/>
      <c r="GA126" s="59"/>
      <c r="GB126" s="59"/>
      <c r="GC126" s="59"/>
      <c r="GD126" s="59"/>
      <c r="GE126" s="59"/>
      <c r="GF126" s="59"/>
      <c r="GG126" s="59"/>
      <c r="GH126" s="59"/>
      <c r="GI126" s="59"/>
      <c r="GJ126" s="59"/>
      <c r="GK126" s="59"/>
      <c r="GL126" s="59"/>
      <c r="GM126" s="59"/>
      <c r="GN126" s="59"/>
      <c r="GO126" s="59"/>
      <c r="GP126" s="59"/>
      <c r="GQ126" s="59"/>
      <c r="GR126" s="59"/>
      <c r="GS126" s="59"/>
      <c r="GT126" s="59"/>
    </row>
    <row r="127" spans="1:202" ht="27" customHeight="1">
      <c r="A127" s="92"/>
      <c r="B127" s="93"/>
      <c r="C127" s="94"/>
      <c r="D127" s="94"/>
      <c r="E127" s="105"/>
      <c r="F127" s="95"/>
      <c r="G127" s="96"/>
      <c r="H127" s="96"/>
      <c r="I127" s="59"/>
      <c r="J127" s="59"/>
      <c r="K127" s="95"/>
      <c r="L127" s="95"/>
      <c r="M127" s="59"/>
      <c r="N127" s="59"/>
      <c r="O127" s="95"/>
      <c r="P127" s="59"/>
      <c r="Q127" s="59"/>
      <c r="R127" s="59"/>
      <c r="S127" s="59"/>
      <c r="T127" s="59"/>
      <c r="U127" s="98"/>
      <c r="V127" s="99"/>
      <c r="W127" s="98"/>
      <c r="X127" s="99"/>
      <c r="Y127" s="98"/>
      <c r="Z127" s="99"/>
      <c r="AA127" s="59"/>
      <c r="AB127" s="59"/>
      <c r="AC127" s="59"/>
      <c r="AD127" s="59"/>
      <c r="AE127" s="100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 t="s">
        <v>282</v>
      </c>
      <c r="DW127" s="197" t="s">
        <v>284</v>
      </c>
      <c r="DX127" s="59" t="s">
        <v>285</v>
      </c>
      <c r="DY127" s="198" t="s">
        <v>295</v>
      </c>
      <c r="DZ127" s="198" t="s">
        <v>296</v>
      </c>
      <c r="EA127" s="59">
        <f>13.75-10.29</f>
        <v>3.460000000000001</v>
      </c>
      <c r="EB127" s="59">
        <v>2538</v>
      </c>
      <c r="EC127" s="59" t="s">
        <v>185</v>
      </c>
      <c r="ED127" s="198">
        <v>1.385</v>
      </c>
      <c r="EE127" s="198">
        <v>3.114</v>
      </c>
      <c r="EF127" s="198">
        <v>0.445</v>
      </c>
      <c r="EG127" s="198" t="s">
        <v>300</v>
      </c>
      <c r="EH127" s="102" t="s">
        <v>289</v>
      </c>
      <c r="EI127" s="198">
        <v>1.1</v>
      </c>
      <c r="EJ127" s="198">
        <v>1.12</v>
      </c>
      <c r="EK127" s="198">
        <v>0.018</v>
      </c>
      <c r="EL127" s="198">
        <v>0.606</v>
      </c>
      <c r="EM127" s="198">
        <v>0.06</v>
      </c>
      <c r="EN127" s="198">
        <v>1.35</v>
      </c>
      <c r="EO127" s="103">
        <f t="shared" si="7"/>
        <v>0.22999999999999998</v>
      </c>
      <c r="EP127" s="59">
        <v>0.15</v>
      </c>
      <c r="EQ127" s="104">
        <v>0</v>
      </c>
      <c r="ER127" s="104">
        <v>0</v>
      </c>
      <c r="ES127" s="104">
        <v>0</v>
      </c>
      <c r="ET127" s="198">
        <v>5</v>
      </c>
      <c r="EU127" s="104">
        <v>0</v>
      </c>
      <c r="EV127" s="198">
        <v>5</v>
      </c>
      <c r="EW127" s="198">
        <v>20</v>
      </c>
      <c r="EX127" s="198">
        <v>20</v>
      </c>
      <c r="EY127" s="104">
        <v>0</v>
      </c>
      <c r="EZ127" s="104">
        <v>0</v>
      </c>
      <c r="FA127" s="104">
        <v>0</v>
      </c>
      <c r="FB127" s="104">
        <v>0</v>
      </c>
      <c r="FC127" s="59"/>
      <c r="FD127" s="59"/>
      <c r="FE127" s="59"/>
      <c r="FF127" s="59"/>
      <c r="FG127" s="59"/>
      <c r="FH127" s="59"/>
      <c r="FI127" s="59"/>
      <c r="FJ127" s="59"/>
      <c r="FK127" s="59"/>
      <c r="FL127" s="59"/>
      <c r="FM127" s="59"/>
      <c r="FN127" s="59"/>
      <c r="FO127" s="59"/>
      <c r="FP127" s="59"/>
      <c r="FQ127" s="59"/>
      <c r="FR127" s="59"/>
      <c r="FS127" s="59"/>
      <c r="FT127" s="59"/>
      <c r="FU127" s="59"/>
      <c r="FV127" s="59"/>
      <c r="FW127" s="59"/>
      <c r="FX127" s="59"/>
      <c r="FY127" s="59"/>
      <c r="FZ127" s="59"/>
      <c r="GA127" s="59"/>
      <c r="GB127" s="59"/>
      <c r="GC127" s="59"/>
      <c r="GD127" s="59"/>
      <c r="GE127" s="59"/>
      <c r="GF127" s="59"/>
      <c r="GG127" s="59"/>
      <c r="GH127" s="59"/>
      <c r="GI127" s="59"/>
      <c r="GJ127" s="59"/>
      <c r="GK127" s="59"/>
      <c r="GL127" s="59"/>
      <c r="GM127" s="59"/>
      <c r="GN127" s="59"/>
      <c r="GO127" s="59"/>
      <c r="GP127" s="59"/>
      <c r="GQ127" s="59"/>
      <c r="GR127" s="59"/>
      <c r="GS127" s="59"/>
      <c r="GT127" s="59"/>
    </row>
    <row r="128" spans="1:202" ht="27" customHeight="1">
      <c r="A128" s="92"/>
      <c r="B128" s="93"/>
      <c r="C128" s="94"/>
      <c r="D128" s="94"/>
      <c r="E128" s="105"/>
      <c r="F128" s="95"/>
      <c r="G128" s="96"/>
      <c r="H128" s="96"/>
      <c r="I128" s="59"/>
      <c r="J128" s="59"/>
      <c r="K128" s="95"/>
      <c r="L128" s="95"/>
      <c r="M128" s="59"/>
      <c r="N128" s="59"/>
      <c r="O128" s="95"/>
      <c r="P128" s="59"/>
      <c r="Q128" s="59"/>
      <c r="R128" s="59"/>
      <c r="S128" s="59"/>
      <c r="T128" s="59"/>
      <c r="U128" s="98"/>
      <c r="V128" s="99"/>
      <c r="W128" s="98"/>
      <c r="X128" s="99"/>
      <c r="Y128" s="98"/>
      <c r="Z128" s="99"/>
      <c r="AA128" s="59"/>
      <c r="AB128" s="59"/>
      <c r="AC128" s="59"/>
      <c r="AD128" s="59"/>
      <c r="AE128" s="100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 t="s">
        <v>282</v>
      </c>
      <c r="DW128" s="197" t="s">
        <v>284</v>
      </c>
      <c r="DX128" s="59" t="s">
        <v>285</v>
      </c>
      <c r="DY128" s="198" t="s">
        <v>296</v>
      </c>
      <c r="DZ128" s="198" t="s">
        <v>297</v>
      </c>
      <c r="EA128" s="59">
        <f>17.6-13.75</f>
        <v>3.8500000000000014</v>
      </c>
      <c r="EB128" s="59">
        <v>2538</v>
      </c>
      <c r="EC128" s="59" t="s">
        <v>185</v>
      </c>
      <c r="ED128" s="198">
        <v>0.78</v>
      </c>
      <c r="EE128" s="198">
        <v>2.025</v>
      </c>
      <c r="EF128" s="198">
        <v>0.385</v>
      </c>
      <c r="EG128" s="198" t="s">
        <v>300</v>
      </c>
      <c r="EH128" s="102" t="s">
        <v>289</v>
      </c>
      <c r="EI128" s="198">
        <v>0.9</v>
      </c>
      <c r="EJ128" s="198">
        <v>0.9</v>
      </c>
      <c r="EK128" s="198">
        <v>0.018</v>
      </c>
      <c r="EL128" s="198">
        <v>0.489</v>
      </c>
      <c r="EM128" s="198">
        <v>0.06</v>
      </c>
      <c r="EN128" s="198">
        <v>1.05</v>
      </c>
      <c r="EO128" s="103">
        <f t="shared" si="7"/>
        <v>0.15000000000000002</v>
      </c>
      <c r="EP128" s="59">
        <v>0.15</v>
      </c>
      <c r="EQ128" s="104">
        <v>0</v>
      </c>
      <c r="ER128" s="104">
        <v>0</v>
      </c>
      <c r="ES128" s="104">
        <v>0</v>
      </c>
      <c r="ET128" s="198">
        <v>5</v>
      </c>
      <c r="EU128" s="104">
        <v>0</v>
      </c>
      <c r="EV128" s="198">
        <v>5</v>
      </c>
      <c r="EW128" s="198">
        <v>20</v>
      </c>
      <c r="EX128" s="198">
        <v>20</v>
      </c>
      <c r="EY128" s="104">
        <v>0</v>
      </c>
      <c r="EZ128" s="104">
        <v>0</v>
      </c>
      <c r="FA128" s="104">
        <v>0</v>
      </c>
      <c r="FB128" s="104">
        <v>0</v>
      </c>
      <c r="FC128" s="59"/>
      <c r="FD128" s="59"/>
      <c r="FE128" s="59"/>
      <c r="FF128" s="59"/>
      <c r="FG128" s="59"/>
      <c r="FH128" s="59"/>
      <c r="FI128" s="59"/>
      <c r="FJ128" s="59"/>
      <c r="FK128" s="59"/>
      <c r="FL128" s="59"/>
      <c r="FM128" s="59"/>
      <c r="FN128" s="59"/>
      <c r="FO128" s="59"/>
      <c r="FP128" s="59"/>
      <c r="FQ128" s="59"/>
      <c r="FR128" s="59"/>
      <c r="FS128" s="59"/>
      <c r="FT128" s="59"/>
      <c r="FU128" s="59"/>
      <c r="FV128" s="59"/>
      <c r="FW128" s="59"/>
      <c r="FX128" s="59"/>
      <c r="FY128" s="59"/>
      <c r="FZ128" s="59"/>
      <c r="GA128" s="59"/>
      <c r="GB128" s="59"/>
      <c r="GC128" s="59"/>
      <c r="GD128" s="59"/>
      <c r="GE128" s="59"/>
      <c r="GF128" s="59"/>
      <c r="GG128" s="59"/>
      <c r="GH128" s="59"/>
      <c r="GI128" s="59"/>
      <c r="GJ128" s="59"/>
      <c r="GK128" s="59"/>
      <c r="GL128" s="59"/>
      <c r="GM128" s="59"/>
      <c r="GN128" s="59"/>
      <c r="GO128" s="59"/>
      <c r="GP128" s="59"/>
      <c r="GQ128" s="59"/>
      <c r="GR128" s="59"/>
      <c r="GS128" s="59"/>
      <c r="GT128" s="59"/>
    </row>
    <row r="129" spans="1:202" ht="27" customHeight="1">
      <c r="A129" s="92"/>
      <c r="B129" s="93"/>
      <c r="C129" s="94"/>
      <c r="D129" s="94"/>
      <c r="E129" s="105"/>
      <c r="F129" s="95"/>
      <c r="G129" s="96"/>
      <c r="H129" s="96"/>
      <c r="I129" s="59"/>
      <c r="J129" s="59"/>
      <c r="K129" s="95"/>
      <c r="L129" s="95"/>
      <c r="M129" s="59"/>
      <c r="N129" s="59"/>
      <c r="O129" s="95"/>
      <c r="P129" s="59"/>
      <c r="Q129" s="59"/>
      <c r="R129" s="59"/>
      <c r="S129" s="59"/>
      <c r="T129" s="59"/>
      <c r="U129" s="98"/>
      <c r="V129" s="99"/>
      <c r="W129" s="98"/>
      <c r="X129" s="99"/>
      <c r="Y129" s="98"/>
      <c r="Z129" s="99"/>
      <c r="AA129" s="59"/>
      <c r="AB129" s="59"/>
      <c r="AC129" s="59"/>
      <c r="AD129" s="59"/>
      <c r="AE129" s="100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 t="s">
        <v>282</v>
      </c>
      <c r="DW129" s="197" t="s">
        <v>284</v>
      </c>
      <c r="DX129" s="59" t="s">
        <v>285</v>
      </c>
      <c r="DY129" s="198" t="s">
        <v>297</v>
      </c>
      <c r="DZ129" s="198" t="s">
        <v>298</v>
      </c>
      <c r="EA129" s="59">
        <f>19-17.6</f>
        <v>1.3999999999999986</v>
      </c>
      <c r="EB129" s="59">
        <v>2538</v>
      </c>
      <c r="EC129" s="59" t="s">
        <v>185</v>
      </c>
      <c r="ED129" s="198">
        <v>0.163</v>
      </c>
      <c r="EE129" s="198">
        <v>0.625</v>
      </c>
      <c r="EF129" s="198">
        <v>0.26</v>
      </c>
      <c r="EG129" s="198" t="s">
        <v>300</v>
      </c>
      <c r="EH129" s="102" t="s">
        <v>289</v>
      </c>
      <c r="EI129" s="198">
        <v>0.5</v>
      </c>
      <c r="EJ129" s="198">
        <v>0.5</v>
      </c>
      <c r="EK129" s="198">
        <v>0.018</v>
      </c>
      <c r="EL129" s="198">
        <v>0.271</v>
      </c>
      <c r="EM129" s="198">
        <v>0.06</v>
      </c>
      <c r="EN129" s="198">
        <v>0.65</v>
      </c>
      <c r="EO129" s="103">
        <f t="shared" si="7"/>
        <v>0.15000000000000002</v>
      </c>
      <c r="EP129" s="59">
        <v>0.15</v>
      </c>
      <c r="EQ129" s="104">
        <v>0</v>
      </c>
      <c r="ER129" s="104">
        <v>0</v>
      </c>
      <c r="ES129" s="104">
        <v>0</v>
      </c>
      <c r="ET129" s="198">
        <v>5</v>
      </c>
      <c r="EU129" s="104">
        <v>0</v>
      </c>
      <c r="EV129" s="198">
        <v>5</v>
      </c>
      <c r="EW129" s="198">
        <v>20</v>
      </c>
      <c r="EX129" s="198">
        <v>20</v>
      </c>
      <c r="EY129" s="104">
        <v>0</v>
      </c>
      <c r="EZ129" s="104">
        <v>0</v>
      </c>
      <c r="FA129" s="104">
        <v>0</v>
      </c>
      <c r="FB129" s="104">
        <v>0</v>
      </c>
      <c r="FC129" s="59"/>
      <c r="FD129" s="59"/>
      <c r="FE129" s="59"/>
      <c r="FF129" s="59"/>
      <c r="FG129" s="59"/>
      <c r="FH129" s="59"/>
      <c r="FI129" s="59"/>
      <c r="FJ129" s="59"/>
      <c r="FK129" s="59"/>
      <c r="FL129" s="59"/>
      <c r="FM129" s="59"/>
      <c r="FN129" s="59"/>
      <c r="FO129" s="59"/>
      <c r="FP129" s="59"/>
      <c r="FQ129" s="59"/>
      <c r="FR129" s="59"/>
      <c r="FS129" s="59"/>
      <c r="FT129" s="59"/>
      <c r="FU129" s="59"/>
      <c r="FV129" s="59"/>
      <c r="FW129" s="59"/>
      <c r="FX129" s="59"/>
      <c r="FY129" s="59"/>
      <c r="FZ129" s="59"/>
      <c r="GA129" s="59"/>
      <c r="GB129" s="59"/>
      <c r="GC129" s="59"/>
      <c r="GD129" s="59"/>
      <c r="GE129" s="59"/>
      <c r="GF129" s="59"/>
      <c r="GG129" s="59"/>
      <c r="GH129" s="59"/>
      <c r="GI129" s="59"/>
      <c r="GJ129" s="59"/>
      <c r="GK129" s="59"/>
      <c r="GL129" s="59"/>
      <c r="GM129" s="59"/>
      <c r="GN129" s="59"/>
      <c r="GO129" s="59"/>
      <c r="GP129" s="59"/>
      <c r="GQ129" s="59"/>
      <c r="GR129" s="59"/>
      <c r="GS129" s="59"/>
      <c r="GT129" s="59"/>
    </row>
    <row r="130" spans="1:202" ht="27" customHeight="1">
      <c r="A130" s="92"/>
      <c r="B130" s="93"/>
      <c r="C130" s="94"/>
      <c r="D130" s="94"/>
      <c r="E130" s="105"/>
      <c r="F130" s="95"/>
      <c r="G130" s="96"/>
      <c r="H130" s="96"/>
      <c r="I130" s="59"/>
      <c r="J130" s="59"/>
      <c r="K130" s="95"/>
      <c r="L130" s="95"/>
      <c r="M130" s="59"/>
      <c r="N130" s="59"/>
      <c r="O130" s="95"/>
      <c r="P130" s="59"/>
      <c r="Q130" s="59"/>
      <c r="R130" s="59"/>
      <c r="S130" s="59"/>
      <c r="T130" s="59"/>
      <c r="U130" s="98"/>
      <c r="V130" s="99"/>
      <c r="W130" s="98"/>
      <c r="X130" s="99"/>
      <c r="Y130" s="98"/>
      <c r="Z130" s="99"/>
      <c r="AA130" s="59"/>
      <c r="AB130" s="59"/>
      <c r="AC130" s="59"/>
      <c r="AD130" s="59"/>
      <c r="AE130" s="100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 t="s">
        <v>282</v>
      </c>
      <c r="DW130" s="197" t="s">
        <v>17</v>
      </c>
      <c r="DX130" s="59" t="s">
        <v>285</v>
      </c>
      <c r="DY130" s="198" t="s">
        <v>298</v>
      </c>
      <c r="DZ130" s="198" t="s">
        <v>299</v>
      </c>
      <c r="EA130" s="59">
        <f>19.635-19</f>
        <v>0.6350000000000016</v>
      </c>
      <c r="EB130" s="59">
        <v>2538</v>
      </c>
      <c r="EC130" s="59" t="s">
        <v>185</v>
      </c>
      <c r="ED130" s="198">
        <v>0.163</v>
      </c>
      <c r="EE130" s="198">
        <v>1.03</v>
      </c>
      <c r="EF130" s="198">
        <v>0.158</v>
      </c>
      <c r="EG130" s="198" t="s">
        <v>300</v>
      </c>
      <c r="EH130" s="102" t="s">
        <v>289</v>
      </c>
      <c r="EI130" s="198">
        <v>0.65</v>
      </c>
      <c r="EJ130" s="198">
        <v>0.64</v>
      </c>
      <c r="EK130" s="198">
        <v>0.035</v>
      </c>
      <c r="EL130" s="198">
        <v>0.348</v>
      </c>
      <c r="EM130" s="198" t="s">
        <v>185</v>
      </c>
      <c r="EN130" s="198" t="s">
        <v>185</v>
      </c>
      <c r="EO130" s="103"/>
      <c r="EP130" s="59"/>
      <c r="EQ130" s="104">
        <v>0</v>
      </c>
      <c r="ER130" s="104">
        <v>0</v>
      </c>
      <c r="ES130" s="104">
        <v>0</v>
      </c>
      <c r="ET130" s="198" t="s">
        <v>185</v>
      </c>
      <c r="EU130" s="104">
        <v>0</v>
      </c>
      <c r="EV130" s="198" t="s">
        <v>185</v>
      </c>
      <c r="EW130" s="198">
        <v>20</v>
      </c>
      <c r="EX130" s="198">
        <v>20</v>
      </c>
      <c r="EY130" s="104">
        <v>0</v>
      </c>
      <c r="EZ130" s="104">
        <v>0</v>
      </c>
      <c r="FA130" s="104">
        <v>0</v>
      </c>
      <c r="FB130" s="104">
        <v>0</v>
      </c>
      <c r="FC130" s="59"/>
      <c r="FD130" s="59"/>
      <c r="FE130" s="59"/>
      <c r="FF130" s="59"/>
      <c r="FG130" s="59"/>
      <c r="FH130" s="59"/>
      <c r="FI130" s="59"/>
      <c r="FJ130" s="59"/>
      <c r="FK130" s="59"/>
      <c r="FL130" s="59"/>
      <c r="FM130" s="59"/>
      <c r="FN130" s="59"/>
      <c r="FO130" s="59"/>
      <c r="FP130" s="59"/>
      <c r="FQ130" s="59"/>
      <c r="FR130" s="59"/>
      <c r="FS130" s="59"/>
      <c r="FT130" s="59"/>
      <c r="FU130" s="59"/>
      <c r="FV130" s="59"/>
      <c r="FW130" s="59"/>
      <c r="FX130" s="59"/>
      <c r="FY130" s="59"/>
      <c r="FZ130" s="59"/>
      <c r="GA130" s="59"/>
      <c r="GB130" s="59"/>
      <c r="GC130" s="59"/>
      <c r="GD130" s="59"/>
      <c r="GE130" s="59"/>
      <c r="GF130" s="59"/>
      <c r="GG130" s="59"/>
      <c r="GH130" s="59"/>
      <c r="GI130" s="59"/>
      <c r="GJ130" s="59"/>
      <c r="GK130" s="59"/>
      <c r="GL130" s="59"/>
      <c r="GM130" s="59"/>
      <c r="GN130" s="59"/>
      <c r="GO130" s="59"/>
      <c r="GP130" s="59"/>
      <c r="GQ130" s="59"/>
      <c r="GR130" s="59"/>
      <c r="GS130" s="59"/>
      <c r="GT130" s="59"/>
    </row>
    <row r="131" spans="1:202" ht="27" customHeight="1">
      <c r="A131" s="92"/>
      <c r="B131" s="93"/>
      <c r="C131" s="94"/>
      <c r="D131" s="94"/>
      <c r="E131" s="105"/>
      <c r="F131" s="95"/>
      <c r="G131" s="96"/>
      <c r="H131" s="96"/>
      <c r="I131" s="59"/>
      <c r="J131" s="59"/>
      <c r="K131" s="95"/>
      <c r="L131" s="95"/>
      <c r="M131" s="59"/>
      <c r="N131" s="59"/>
      <c r="O131" s="95"/>
      <c r="P131" s="59"/>
      <c r="Q131" s="59"/>
      <c r="R131" s="59"/>
      <c r="S131" s="59"/>
      <c r="T131" s="59"/>
      <c r="U131" s="98"/>
      <c r="V131" s="99"/>
      <c r="W131" s="98"/>
      <c r="X131" s="99"/>
      <c r="Y131" s="98"/>
      <c r="Z131" s="99"/>
      <c r="AA131" s="59"/>
      <c r="AB131" s="59"/>
      <c r="AC131" s="59"/>
      <c r="AD131" s="59"/>
      <c r="AE131" s="100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 t="s">
        <v>302</v>
      </c>
      <c r="DW131" s="197" t="s">
        <v>284</v>
      </c>
      <c r="DX131" s="59" t="s">
        <v>285</v>
      </c>
      <c r="DY131" s="198" t="s">
        <v>286</v>
      </c>
      <c r="DZ131" s="198" t="s">
        <v>303</v>
      </c>
      <c r="EA131" s="59">
        <f>2.28-0</f>
        <v>2.28</v>
      </c>
      <c r="EB131" s="59">
        <v>2538</v>
      </c>
      <c r="EC131" s="59" t="s">
        <v>185</v>
      </c>
      <c r="ED131" s="198">
        <v>0.535</v>
      </c>
      <c r="EE131" s="198">
        <v>1.369</v>
      </c>
      <c r="EF131" s="198">
        <v>0.391</v>
      </c>
      <c r="EG131" s="198" t="s">
        <v>324</v>
      </c>
      <c r="EH131" s="102" t="s">
        <v>289</v>
      </c>
      <c r="EI131" s="198">
        <v>0.7</v>
      </c>
      <c r="EJ131" s="198">
        <v>0.75</v>
      </c>
      <c r="EK131" s="198">
        <v>0.018</v>
      </c>
      <c r="EL131" s="198">
        <v>0.402</v>
      </c>
      <c r="EM131" s="198">
        <v>0.06</v>
      </c>
      <c r="EN131" s="198">
        <v>0.9</v>
      </c>
      <c r="EO131" s="103">
        <f t="shared" si="7"/>
        <v>0.15000000000000002</v>
      </c>
      <c r="EP131" s="59">
        <v>0.15</v>
      </c>
      <c r="EQ131" s="104">
        <v>0</v>
      </c>
      <c r="ER131" s="104">
        <v>0</v>
      </c>
      <c r="ES131" s="104">
        <v>0</v>
      </c>
      <c r="ET131" s="198">
        <v>5</v>
      </c>
      <c r="EU131" s="104">
        <v>0</v>
      </c>
      <c r="EV131" s="198">
        <v>5</v>
      </c>
      <c r="EW131" s="198">
        <v>15</v>
      </c>
      <c r="EX131" s="198">
        <v>15</v>
      </c>
      <c r="EY131" s="104">
        <v>0</v>
      </c>
      <c r="EZ131" s="104">
        <v>0</v>
      </c>
      <c r="FA131" s="104">
        <v>0</v>
      </c>
      <c r="FB131" s="104">
        <v>0</v>
      </c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59"/>
      <c r="GG131" s="59"/>
      <c r="GH131" s="59"/>
      <c r="GI131" s="59"/>
      <c r="GJ131" s="59"/>
      <c r="GK131" s="59"/>
      <c r="GL131" s="59"/>
      <c r="GM131" s="59"/>
      <c r="GN131" s="59"/>
      <c r="GO131" s="59"/>
      <c r="GP131" s="59"/>
      <c r="GQ131" s="59"/>
      <c r="GR131" s="59"/>
      <c r="GS131" s="59"/>
      <c r="GT131" s="59"/>
    </row>
    <row r="132" spans="1:202" ht="27" customHeight="1">
      <c r="A132" s="92"/>
      <c r="B132" s="93"/>
      <c r="C132" s="94"/>
      <c r="D132" s="94"/>
      <c r="E132" s="105"/>
      <c r="F132" s="95"/>
      <c r="G132" s="96"/>
      <c r="H132" s="96"/>
      <c r="I132" s="59"/>
      <c r="J132" s="59"/>
      <c r="K132" s="95"/>
      <c r="L132" s="95"/>
      <c r="M132" s="59"/>
      <c r="N132" s="59"/>
      <c r="O132" s="95"/>
      <c r="P132" s="59"/>
      <c r="Q132" s="59"/>
      <c r="R132" s="59"/>
      <c r="S132" s="59"/>
      <c r="T132" s="59"/>
      <c r="U132" s="98"/>
      <c r="V132" s="99"/>
      <c r="W132" s="98"/>
      <c r="X132" s="99"/>
      <c r="Y132" s="98"/>
      <c r="Z132" s="99"/>
      <c r="AA132" s="59"/>
      <c r="AB132" s="59"/>
      <c r="AC132" s="59"/>
      <c r="AD132" s="59"/>
      <c r="AE132" s="100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 t="s">
        <v>302</v>
      </c>
      <c r="DW132" s="197" t="s">
        <v>284</v>
      </c>
      <c r="DX132" s="59" t="s">
        <v>285</v>
      </c>
      <c r="DY132" s="198" t="s">
        <v>303</v>
      </c>
      <c r="DZ132" s="198" t="s">
        <v>304</v>
      </c>
      <c r="EA132" s="59">
        <f>5.4-2.28</f>
        <v>3.1200000000000006</v>
      </c>
      <c r="EB132" s="59">
        <v>2538</v>
      </c>
      <c r="EC132" s="59" t="s">
        <v>185</v>
      </c>
      <c r="ED132" s="198">
        <v>0.188</v>
      </c>
      <c r="EE132" s="198">
        <v>0.625</v>
      </c>
      <c r="EF132" s="198">
        <v>0.301</v>
      </c>
      <c r="EG132" s="198" t="s">
        <v>324</v>
      </c>
      <c r="EH132" s="102" t="s">
        <v>289</v>
      </c>
      <c r="EI132" s="198">
        <v>0.5</v>
      </c>
      <c r="EJ132" s="198">
        <v>0.5</v>
      </c>
      <c r="EK132" s="198">
        <v>0.018</v>
      </c>
      <c r="EL132" s="198">
        <v>0.271</v>
      </c>
      <c r="EM132" s="198">
        <v>0.06</v>
      </c>
      <c r="EN132" s="198">
        <v>0.65</v>
      </c>
      <c r="EO132" s="103">
        <f t="shared" si="7"/>
        <v>0.15000000000000002</v>
      </c>
      <c r="EP132" s="59">
        <v>0.15</v>
      </c>
      <c r="EQ132" s="104">
        <v>0</v>
      </c>
      <c r="ER132" s="104">
        <v>0</v>
      </c>
      <c r="ES132" s="104">
        <v>0</v>
      </c>
      <c r="ET132" s="198">
        <v>5</v>
      </c>
      <c r="EU132" s="104">
        <v>0</v>
      </c>
      <c r="EV132" s="198">
        <v>5</v>
      </c>
      <c r="EW132" s="198">
        <v>15</v>
      </c>
      <c r="EX132" s="198">
        <v>15</v>
      </c>
      <c r="EY132" s="104">
        <v>0</v>
      </c>
      <c r="EZ132" s="104">
        <v>0</v>
      </c>
      <c r="FA132" s="104">
        <v>0</v>
      </c>
      <c r="FB132" s="104">
        <v>0</v>
      </c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</row>
    <row r="133" spans="1:202" ht="27" customHeight="1">
      <c r="A133" s="92"/>
      <c r="B133" s="93"/>
      <c r="C133" s="94"/>
      <c r="D133" s="94"/>
      <c r="E133" s="105"/>
      <c r="F133" s="95"/>
      <c r="G133" s="96"/>
      <c r="H133" s="96"/>
      <c r="I133" s="59"/>
      <c r="J133" s="59"/>
      <c r="K133" s="95"/>
      <c r="L133" s="95"/>
      <c r="M133" s="59"/>
      <c r="N133" s="59"/>
      <c r="O133" s="95"/>
      <c r="P133" s="59"/>
      <c r="Q133" s="59"/>
      <c r="R133" s="59"/>
      <c r="S133" s="59"/>
      <c r="T133" s="59"/>
      <c r="U133" s="98"/>
      <c r="V133" s="99"/>
      <c r="W133" s="98"/>
      <c r="X133" s="99"/>
      <c r="Y133" s="98"/>
      <c r="Z133" s="99"/>
      <c r="AA133" s="59"/>
      <c r="AB133" s="59"/>
      <c r="AC133" s="59"/>
      <c r="AD133" s="59"/>
      <c r="AE133" s="100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 t="s">
        <v>325</v>
      </c>
      <c r="DW133" s="197" t="s">
        <v>284</v>
      </c>
      <c r="DX133" s="59" t="s">
        <v>285</v>
      </c>
      <c r="DY133" s="198" t="s">
        <v>286</v>
      </c>
      <c r="DZ133" s="198" t="s">
        <v>291</v>
      </c>
      <c r="EA133" s="59">
        <f>3.55-0</f>
        <v>3.55</v>
      </c>
      <c r="EB133" s="59">
        <v>2538</v>
      </c>
      <c r="EC133" s="59" t="s">
        <v>185</v>
      </c>
      <c r="ED133" s="198">
        <v>0.363</v>
      </c>
      <c r="EE133" s="198">
        <v>1.024</v>
      </c>
      <c r="EF133" s="198">
        <v>0.355</v>
      </c>
      <c r="EG133" s="198" t="s">
        <v>324</v>
      </c>
      <c r="EH133" s="102" t="s">
        <v>289</v>
      </c>
      <c r="EI133" s="198">
        <v>0.6</v>
      </c>
      <c r="EJ133" s="198">
        <v>0.65</v>
      </c>
      <c r="EK133" s="198">
        <v>0.018</v>
      </c>
      <c r="EL133" s="198">
        <v>0.348</v>
      </c>
      <c r="EM133" s="198">
        <v>0.06</v>
      </c>
      <c r="EN133" s="198">
        <v>0.8</v>
      </c>
      <c r="EO133" s="103">
        <f t="shared" si="7"/>
        <v>0.15000000000000002</v>
      </c>
      <c r="EP133" s="59">
        <v>0.15</v>
      </c>
      <c r="EQ133" s="104">
        <v>0</v>
      </c>
      <c r="ER133" s="104">
        <v>0</v>
      </c>
      <c r="ES133" s="104">
        <v>0</v>
      </c>
      <c r="ET133" s="198">
        <v>5</v>
      </c>
      <c r="EU133" s="104">
        <v>0</v>
      </c>
      <c r="EV133" s="198">
        <v>5</v>
      </c>
      <c r="EW133" s="198">
        <v>15</v>
      </c>
      <c r="EX133" s="198">
        <v>15</v>
      </c>
      <c r="EY133" s="104">
        <v>0</v>
      </c>
      <c r="EZ133" s="104">
        <v>0</v>
      </c>
      <c r="FA133" s="104">
        <v>0</v>
      </c>
      <c r="FB133" s="104">
        <v>0</v>
      </c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  <c r="FW133" s="59"/>
      <c r="FX133" s="59"/>
      <c r="FY133" s="59"/>
      <c r="FZ133" s="59"/>
      <c r="GA133" s="59"/>
      <c r="GB133" s="59"/>
      <c r="GC133" s="59"/>
      <c r="GD133" s="59"/>
      <c r="GE133" s="59"/>
      <c r="GF133" s="59"/>
      <c r="GG133" s="59"/>
      <c r="GH133" s="59"/>
      <c r="GI133" s="59"/>
      <c r="GJ133" s="59"/>
      <c r="GK133" s="59"/>
      <c r="GL133" s="59"/>
      <c r="GM133" s="59"/>
      <c r="GN133" s="59"/>
      <c r="GO133" s="59"/>
      <c r="GP133" s="59"/>
      <c r="GQ133" s="59"/>
      <c r="GR133" s="59"/>
      <c r="GS133" s="59"/>
      <c r="GT133" s="59"/>
    </row>
    <row r="134" spans="1:202" ht="27" customHeight="1">
      <c r="A134" s="92"/>
      <c r="B134" s="93"/>
      <c r="C134" s="94"/>
      <c r="D134" s="94"/>
      <c r="E134" s="105"/>
      <c r="F134" s="95"/>
      <c r="G134" s="96"/>
      <c r="H134" s="96"/>
      <c r="I134" s="59"/>
      <c r="J134" s="59"/>
      <c r="K134" s="95"/>
      <c r="L134" s="95"/>
      <c r="M134" s="59"/>
      <c r="N134" s="59"/>
      <c r="O134" s="95"/>
      <c r="P134" s="59"/>
      <c r="Q134" s="59"/>
      <c r="R134" s="59"/>
      <c r="S134" s="59"/>
      <c r="T134" s="59"/>
      <c r="U134" s="98"/>
      <c r="V134" s="99"/>
      <c r="W134" s="98"/>
      <c r="X134" s="99"/>
      <c r="Y134" s="98"/>
      <c r="Z134" s="99"/>
      <c r="AA134" s="59"/>
      <c r="AB134" s="59"/>
      <c r="AC134" s="59"/>
      <c r="AD134" s="59"/>
      <c r="AE134" s="100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 t="s">
        <v>325</v>
      </c>
      <c r="DW134" s="197" t="s">
        <v>17</v>
      </c>
      <c r="DX134" s="59" t="s">
        <v>285</v>
      </c>
      <c r="DY134" s="198" t="s">
        <v>291</v>
      </c>
      <c r="DZ134" s="198" t="s">
        <v>305</v>
      </c>
      <c r="EA134" s="59">
        <f>3.812-3.55</f>
        <v>0.262</v>
      </c>
      <c r="EB134" s="59">
        <v>2538</v>
      </c>
      <c r="EC134" s="59" t="s">
        <v>185</v>
      </c>
      <c r="ED134" s="198">
        <v>0.363</v>
      </c>
      <c r="EE134" s="198">
        <v>1.88</v>
      </c>
      <c r="EF134" s="198">
        <v>0.193</v>
      </c>
      <c r="EG134" s="198" t="s">
        <v>300</v>
      </c>
      <c r="EH134" s="102" t="s">
        <v>289</v>
      </c>
      <c r="EI134" s="198">
        <v>0.9</v>
      </c>
      <c r="EJ134" s="198">
        <v>0.859</v>
      </c>
      <c r="EK134" s="198">
        <v>0.035</v>
      </c>
      <c r="EL134" s="198">
        <v>0.47</v>
      </c>
      <c r="EM134" s="198" t="s">
        <v>185</v>
      </c>
      <c r="EN134" s="198" t="s">
        <v>185</v>
      </c>
      <c r="EO134" s="103">
        <v>0</v>
      </c>
      <c r="EP134" s="59">
        <v>0.15</v>
      </c>
      <c r="EQ134" s="104">
        <v>0</v>
      </c>
      <c r="ER134" s="104">
        <v>0</v>
      </c>
      <c r="ES134" s="104">
        <v>0</v>
      </c>
      <c r="ET134" s="198" t="s">
        <v>185</v>
      </c>
      <c r="EU134" s="104">
        <v>0</v>
      </c>
      <c r="EV134" s="198" t="s">
        <v>185</v>
      </c>
      <c r="EW134" s="198">
        <v>15</v>
      </c>
      <c r="EX134" s="198">
        <v>15</v>
      </c>
      <c r="EY134" s="104">
        <v>0</v>
      </c>
      <c r="EZ134" s="104">
        <v>0</v>
      </c>
      <c r="FA134" s="104">
        <v>0</v>
      </c>
      <c r="FB134" s="104">
        <v>0</v>
      </c>
      <c r="FC134" s="59"/>
      <c r="FD134" s="59"/>
      <c r="FE134" s="59"/>
      <c r="FF134" s="59"/>
      <c r="FG134" s="59"/>
      <c r="FH134" s="59"/>
      <c r="FI134" s="59"/>
      <c r="FJ134" s="59"/>
      <c r="FK134" s="59"/>
      <c r="FL134" s="59"/>
      <c r="FM134" s="59"/>
      <c r="FN134" s="59"/>
      <c r="FO134" s="59"/>
      <c r="FP134" s="59"/>
      <c r="FQ134" s="59"/>
      <c r="FR134" s="59"/>
      <c r="FS134" s="59"/>
      <c r="FT134" s="59"/>
      <c r="FU134" s="59"/>
      <c r="FV134" s="59"/>
      <c r="FW134" s="59"/>
      <c r="FX134" s="59"/>
      <c r="FY134" s="59"/>
      <c r="FZ134" s="59"/>
      <c r="GA134" s="59"/>
      <c r="GB134" s="59"/>
      <c r="GC134" s="59"/>
      <c r="GD134" s="59"/>
      <c r="GE134" s="59"/>
      <c r="GF134" s="59"/>
      <c r="GG134" s="59"/>
      <c r="GH134" s="59"/>
      <c r="GI134" s="59"/>
      <c r="GJ134" s="59"/>
      <c r="GK134" s="59"/>
      <c r="GL134" s="59"/>
      <c r="GM134" s="59"/>
      <c r="GN134" s="59"/>
      <c r="GO134" s="59"/>
      <c r="GP134" s="59"/>
      <c r="GQ134" s="59"/>
      <c r="GR134" s="59"/>
      <c r="GS134" s="59"/>
      <c r="GT134" s="59"/>
    </row>
    <row r="135" spans="1:202" ht="27" customHeight="1">
      <c r="A135" s="92"/>
      <c r="B135" s="93"/>
      <c r="C135" s="94"/>
      <c r="D135" s="94"/>
      <c r="E135" s="105"/>
      <c r="F135" s="95"/>
      <c r="G135" s="96"/>
      <c r="H135" s="96"/>
      <c r="I135" s="59"/>
      <c r="J135" s="59"/>
      <c r="K135" s="95"/>
      <c r="L135" s="95"/>
      <c r="M135" s="59"/>
      <c r="N135" s="59"/>
      <c r="O135" s="95"/>
      <c r="P135" s="59"/>
      <c r="Q135" s="59"/>
      <c r="R135" s="59"/>
      <c r="S135" s="59"/>
      <c r="T135" s="59"/>
      <c r="U135" s="98"/>
      <c r="V135" s="99"/>
      <c r="W135" s="98"/>
      <c r="X135" s="99"/>
      <c r="Y135" s="98"/>
      <c r="Z135" s="99"/>
      <c r="AA135" s="59"/>
      <c r="AB135" s="59"/>
      <c r="AC135" s="59"/>
      <c r="AD135" s="59"/>
      <c r="AE135" s="100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 t="s">
        <v>326</v>
      </c>
      <c r="DW135" s="197" t="s">
        <v>284</v>
      </c>
      <c r="DX135" s="59" t="s">
        <v>285</v>
      </c>
      <c r="DY135" s="198" t="s">
        <v>286</v>
      </c>
      <c r="DZ135" s="198" t="s">
        <v>306</v>
      </c>
      <c r="EA135" s="59">
        <f>2.65-0</f>
        <v>2.65</v>
      </c>
      <c r="EB135" s="59">
        <v>2538</v>
      </c>
      <c r="EC135" s="59" t="s">
        <v>185</v>
      </c>
      <c r="ED135" s="198">
        <v>0.637</v>
      </c>
      <c r="EE135" s="198">
        <v>1.56</v>
      </c>
      <c r="EF135" s="198">
        <v>0.408</v>
      </c>
      <c r="EG135" s="198" t="s">
        <v>324</v>
      </c>
      <c r="EH135" s="102" t="s">
        <v>289</v>
      </c>
      <c r="EI135" s="198">
        <v>0.75</v>
      </c>
      <c r="EJ135" s="198">
        <v>0.8</v>
      </c>
      <c r="EK135" s="198">
        <v>0.018</v>
      </c>
      <c r="EL135" s="198">
        <v>0.429</v>
      </c>
      <c r="EM135" s="198">
        <v>0.06</v>
      </c>
      <c r="EN135" s="198">
        <v>0.95</v>
      </c>
      <c r="EO135" s="103">
        <f t="shared" si="7"/>
        <v>0.1499999999999999</v>
      </c>
      <c r="EP135" s="59">
        <v>0.15</v>
      </c>
      <c r="EQ135" s="104">
        <v>0</v>
      </c>
      <c r="ER135" s="104">
        <v>0</v>
      </c>
      <c r="ES135" s="104">
        <v>0</v>
      </c>
      <c r="ET135" s="198">
        <v>5</v>
      </c>
      <c r="EU135" s="104">
        <v>0</v>
      </c>
      <c r="EV135" s="198">
        <v>5</v>
      </c>
      <c r="EW135" s="198">
        <v>15</v>
      </c>
      <c r="EX135" s="198">
        <v>15</v>
      </c>
      <c r="EY135" s="104">
        <v>0</v>
      </c>
      <c r="EZ135" s="104">
        <v>0</v>
      </c>
      <c r="FA135" s="104">
        <v>0</v>
      </c>
      <c r="FB135" s="104">
        <v>0</v>
      </c>
      <c r="FC135" s="59"/>
      <c r="FD135" s="59"/>
      <c r="FE135" s="59"/>
      <c r="FF135" s="59"/>
      <c r="FG135" s="59"/>
      <c r="FH135" s="59"/>
      <c r="FI135" s="59"/>
      <c r="FJ135" s="59"/>
      <c r="FK135" s="59"/>
      <c r="FL135" s="59"/>
      <c r="FM135" s="59"/>
      <c r="FN135" s="59"/>
      <c r="FO135" s="59"/>
      <c r="FP135" s="59"/>
      <c r="FQ135" s="59"/>
      <c r="FR135" s="59"/>
      <c r="FS135" s="59"/>
      <c r="FT135" s="59"/>
      <c r="FU135" s="59"/>
      <c r="FV135" s="59"/>
      <c r="FW135" s="59"/>
      <c r="FX135" s="59"/>
      <c r="FY135" s="59"/>
      <c r="FZ135" s="59"/>
      <c r="GA135" s="59"/>
      <c r="GB135" s="59"/>
      <c r="GC135" s="59"/>
      <c r="GD135" s="59"/>
      <c r="GE135" s="59"/>
      <c r="GF135" s="59"/>
      <c r="GG135" s="59"/>
      <c r="GH135" s="59"/>
      <c r="GI135" s="59"/>
      <c r="GJ135" s="59"/>
      <c r="GK135" s="59"/>
      <c r="GL135" s="59"/>
      <c r="GM135" s="59"/>
      <c r="GN135" s="59"/>
      <c r="GO135" s="59"/>
      <c r="GP135" s="59"/>
      <c r="GQ135" s="59"/>
      <c r="GR135" s="59"/>
      <c r="GS135" s="59"/>
      <c r="GT135" s="59"/>
    </row>
    <row r="136" spans="1:202" ht="27" customHeight="1">
      <c r="A136" s="92"/>
      <c r="B136" s="93"/>
      <c r="C136" s="94"/>
      <c r="D136" s="94"/>
      <c r="E136" s="105"/>
      <c r="F136" s="95"/>
      <c r="G136" s="96"/>
      <c r="H136" s="96"/>
      <c r="I136" s="59"/>
      <c r="J136" s="59"/>
      <c r="K136" s="95"/>
      <c r="L136" s="95"/>
      <c r="M136" s="59"/>
      <c r="N136" s="59"/>
      <c r="O136" s="95"/>
      <c r="P136" s="59"/>
      <c r="Q136" s="59"/>
      <c r="R136" s="59"/>
      <c r="S136" s="59"/>
      <c r="T136" s="59"/>
      <c r="U136" s="98"/>
      <c r="V136" s="99"/>
      <c r="W136" s="98"/>
      <c r="X136" s="99"/>
      <c r="Y136" s="98"/>
      <c r="Z136" s="99"/>
      <c r="AA136" s="59"/>
      <c r="AB136" s="59"/>
      <c r="AC136" s="59"/>
      <c r="AD136" s="59"/>
      <c r="AE136" s="100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 t="s">
        <v>326</v>
      </c>
      <c r="DW136" s="197" t="s">
        <v>284</v>
      </c>
      <c r="DX136" s="59" t="s">
        <v>285</v>
      </c>
      <c r="DY136" s="198" t="s">
        <v>306</v>
      </c>
      <c r="DZ136" s="198" t="s">
        <v>307</v>
      </c>
      <c r="EA136" s="59">
        <f>6.7-2.65</f>
        <v>4.050000000000001</v>
      </c>
      <c r="EB136" s="59">
        <v>2538</v>
      </c>
      <c r="EC136" s="59" t="s">
        <v>185</v>
      </c>
      <c r="ED136" s="198">
        <v>0.306</v>
      </c>
      <c r="EE136" s="198">
        <v>0.9</v>
      </c>
      <c r="EF136" s="198">
        <v>0.34</v>
      </c>
      <c r="EG136" s="198" t="s">
        <v>324</v>
      </c>
      <c r="EH136" s="102" t="s">
        <v>289</v>
      </c>
      <c r="EI136" s="198">
        <v>0.6</v>
      </c>
      <c r="EJ136" s="198">
        <v>0.6</v>
      </c>
      <c r="EK136" s="198">
        <v>0.018</v>
      </c>
      <c r="EL136" s="198">
        <v>0.326</v>
      </c>
      <c r="EM136" s="198">
        <v>0.06</v>
      </c>
      <c r="EN136" s="198">
        <v>0.75</v>
      </c>
      <c r="EO136" s="103">
        <f t="shared" si="7"/>
        <v>0.15000000000000002</v>
      </c>
      <c r="EP136" s="59">
        <v>0.15</v>
      </c>
      <c r="EQ136" s="104">
        <v>0</v>
      </c>
      <c r="ER136" s="104">
        <v>0</v>
      </c>
      <c r="ES136" s="104">
        <v>0</v>
      </c>
      <c r="ET136" s="198">
        <v>5</v>
      </c>
      <c r="EU136" s="104">
        <v>0</v>
      </c>
      <c r="EV136" s="198">
        <v>5</v>
      </c>
      <c r="EW136" s="198">
        <v>15</v>
      </c>
      <c r="EX136" s="198">
        <v>15</v>
      </c>
      <c r="EY136" s="104">
        <v>0</v>
      </c>
      <c r="EZ136" s="104">
        <v>0</v>
      </c>
      <c r="FA136" s="104">
        <v>0</v>
      </c>
      <c r="FB136" s="104">
        <v>0</v>
      </c>
      <c r="FC136" s="59"/>
      <c r="FD136" s="59"/>
      <c r="FE136" s="59"/>
      <c r="FF136" s="59"/>
      <c r="FG136" s="59"/>
      <c r="FH136" s="59"/>
      <c r="FI136" s="59"/>
      <c r="FJ136" s="59"/>
      <c r="FK136" s="59"/>
      <c r="FL136" s="59"/>
      <c r="FM136" s="59"/>
      <c r="FN136" s="59"/>
      <c r="FO136" s="59"/>
      <c r="FP136" s="59"/>
      <c r="FQ136" s="59"/>
      <c r="FR136" s="59"/>
      <c r="FS136" s="59"/>
      <c r="FT136" s="59"/>
      <c r="FU136" s="59"/>
      <c r="FV136" s="59"/>
      <c r="FW136" s="59"/>
      <c r="FX136" s="59"/>
      <c r="FY136" s="59"/>
      <c r="FZ136" s="59"/>
      <c r="GA136" s="59"/>
      <c r="GB136" s="59"/>
      <c r="GC136" s="59"/>
      <c r="GD136" s="59"/>
      <c r="GE136" s="59"/>
      <c r="GF136" s="59"/>
      <c r="GG136" s="59"/>
      <c r="GH136" s="59"/>
      <c r="GI136" s="59"/>
      <c r="GJ136" s="59"/>
      <c r="GK136" s="59"/>
      <c r="GL136" s="59"/>
      <c r="GM136" s="59"/>
      <c r="GN136" s="59"/>
      <c r="GO136" s="59"/>
      <c r="GP136" s="59"/>
      <c r="GQ136" s="59"/>
      <c r="GR136" s="59"/>
      <c r="GS136" s="59"/>
      <c r="GT136" s="59"/>
    </row>
    <row r="137" spans="1:202" ht="27" customHeight="1">
      <c r="A137" s="92"/>
      <c r="B137" s="93"/>
      <c r="C137" s="94"/>
      <c r="D137" s="94"/>
      <c r="E137" s="105"/>
      <c r="F137" s="95"/>
      <c r="G137" s="96"/>
      <c r="H137" s="96"/>
      <c r="I137" s="59"/>
      <c r="J137" s="59"/>
      <c r="K137" s="95"/>
      <c r="L137" s="95"/>
      <c r="M137" s="59"/>
      <c r="N137" s="59"/>
      <c r="O137" s="95"/>
      <c r="P137" s="59"/>
      <c r="Q137" s="59"/>
      <c r="R137" s="59"/>
      <c r="S137" s="59"/>
      <c r="T137" s="59"/>
      <c r="U137" s="98"/>
      <c r="V137" s="99"/>
      <c r="W137" s="98"/>
      <c r="X137" s="99"/>
      <c r="Y137" s="98"/>
      <c r="Z137" s="99"/>
      <c r="AA137" s="59"/>
      <c r="AB137" s="59"/>
      <c r="AC137" s="59"/>
      <c r="AD137" s="59"/>
      <c r="AE137" s="100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 t="s">
        <v>326</v>
      </c>
      <c r="DW137" s="197" t="s">
        <v>17</v>
      </c>
      <c r="DX137" s="59" t="s">
        <v>285</v>
      </c>
      <c r="DY137" s="198" t="s">
        <v>307</v>
      </c>
      <c r="DZ137" s="198" t="s">
        <v>308</v>
      </c>
      <c r="EA137" s="59">
        <f>6.85-6.7</f>
        <v>0.14999999999999947</v>
      </c>
      <c r="EB137" s="59">
        <v>2538</v>
      </c>
      <c r="EC137" s="59" t="s">
        <v>185</v>
      </c>
      <c r="ED137" s="198">
        <v>0.306</v>
      </c>
      <c r="EE137" s="198">
        <v>1.652</v>
      </c>
      <c r="EF137" s="198">
        <v>0.185</v>
      </c>
      <c r="EG137" s="198" t="s">
        <v>300</v>
      </c>
      <c r="EH137" s="102" t="s">
        <v>289</v>
      </c>
      <c r="EI137" s="198">
        <v>0.8</v>
      </c>
      <c r="EJ137" s="198">
        <v>0.812</v>
      </c>
      <c r="EK137" s="198">
        <v>0.035</v>
      </c>
      <c r="EL137" s="198">
        <v>0.441</v>
      </c>
      <c r="EM137" s="198" t="s">
        <v>185</v>
      </c>
      <c r="EN137" s="198" t="s">
        <v>185</v>
      </c>
      <c r="EO137" s="103">
        <v>0</v>
      </c>
      <c r="EP137" s="59">
        <v>0.15</v>
      </c>
      <c r="EQ137" s="104">
        <v>0</v>
      </c>
      <c r="ER137" s="104">
        <v>0</v>
      </c>
      <c r="ES137" s="104">
        <v>0</v>
      </c>
      <c r="ET137" s="198" t="s">
        <v>185</v>
      </c>
      <c r="EU137" s="104">
        <v>0</v>
      </c>
      <c r="EV137" s="198" t="s">
        <v>185</v>
      </c>
      <c r="EW137" s="198">
        <v>15</v>
      </c>
      <c r="EX137" s="198">
        <v>15</v>
      </c>
      <c r="EY137" s="104">
        <v>0</v>
      </c>
      <c r="EZ137" s="104">
        <v>0</v>
      </c>
      <c r="FA137" s="104">
        <v>0</v>
      </c>
      <c r="FB137" s="104">
        <v>0</v>
      </c>
      <c r="FC137" s="59"/>
      <c r="FD137" s="59"/>
      <c r="FE137" s="59"/>
      <c r="FF137" s="59"/>
      <c r="FG137" s="59"/>
      <c r="FH137" s="59"/>
      <c r="FI137" s="59"/>
      <c r="FJ137" s="59"/>
      <c r="FK137" s="59"/>
      <c r="FL137" s="59"/>
      <c r="FM137" s="59"/>
      <c r="FN137" s="59"/>
      <c r="FO137" s="59"/>
      <c r="FP137" s="59"/>
      <c r="FQ137" s="59"/>
      <c r="FR137" s="59"/>
      <c r="FS137" s="59"/>
      <c r="FT137" s="59"/>
      <c r="FU137" s="59"/>
      <c r="FV137" s="59"/>
      <c r="FW137" s="59"/>
      <c r="FX137" s="59"/>
      <c r="FY137" s="59"/>
      <c r="FZ137" s="59"/>
      <c r="GA137" s="59"/>
      <c r="GB137" s="59"/>
      <c r="GC137" s="59"/>
      <c r="GD137" s="59"/>
      <c r="GE137" s="59"/>
      <c r="GF137" s="59"/>
      <c r="GG137" s="59"/>
      <c r="GH137" s="59"/>
      <c r="GI137" s="59"/>
      <c r="GJ137" s="59"/>
      <c r="GK137" s="59"/>
      <c r="GL137" s="59"/>
      <c r="GM137" s="59"/>
      <c r="GN137" s="59"/>
      <c r="GO137" s="59"/>
      <c r="GP137" s="59"/>
      <c r="GQ137" s="59"/>
      <c r="GR137" s="59"/>
      <c r="GS137" s="59"/>
      <c r="GT137" s="59"/>
    </row>
    <row r="138" spans="1:202" ht="27" customHeight="1">
      <c r="A138" s="92"/>
      <c r="B138" s="93"/>
      <c r="C138" s="94"/>
      <c r="D138" s="94"/>
      <c r="E138" s="105"/>
      <c r="F138" s="95"/>
      <c r="G138" s="96"/>
      <c r="H138" s="96"/>
      <c r="I138" s="59"/>
      <c r="J138" s="59"/>
      <c r="K138" s="95"/>
      <c r="L138" s="95"/>
      <c r="M138" s="59"/>
      <c r="N138" s="59"/>
      <c r="O138" s="95"/>
      <c r="P138" s="59"/>
      <c r="Q138" s="59"/>
      <c r="R138" s="59"/>
      <c r="S138" s="59"/>
      <c r="T138" s="59"/>
      <c r="U138" s="98"/>
      <c r="V138" s="99"/>
      <c r="W138" s="98"/>
      <c r="X138" s="99"/>
      <c r="Y138" s="98"/>
      <c r="Z138" s="99"/>
      <c r="AA138" s="59"/>
      <c r="AB138" s="59"/>
      <c r="AC138" s="59"/>
      <c r="AD138" s="59"/>
      <c r="AE138" s="100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 t="s">
        <v>283</v>
      </c>
      <c r="DW138" s="197" t="s">
        <v>284</v>
      </c>
      <c r="DX138" s="59" t="s">
        <v>285</v>
      </c>
      <c r="DY138" s="198" t="s">
        <v>286</v>
      </c>
      <c r="DZ138" s="198" t="s">
        <v>309</v>
      </c>
      <c r="EA138" s="59">
        <f>5-0</f>
        <v>5</v>
      </c>
      <c r="EB138" s="59">
        <v>2538</v>
      </c>
      <c r="EC138" s="59" t="s">
        <v>185</v>
      </c>
      <c r="ED138" s="198">
        <v>2.434</v>
      </c>
      <c r="EE138" s="198">
        <v>4.759</v>
      </c>
      <c r="EF138" s="198">
        <v>0.511</v>
      </c>
      <c r="EG138" s="198" t="s">
        <v>300</v>
      </c>
      <c r="EH138" s="102" t="s">
        <v>289</v>
      </c>
      <c r="EI138" s="198">
        <v>1.5</v>
      </c>
      <c r="EJ138" s="198">
        <v>1.35</v>
      </c>
      <c r="EK138" s="198">
        <v>0.018</v>
      </c>
      <c r="EL138" s="198">
        <v>0.747</v>
      </c>
      <c r="EM138" s="198">
        <v>0.06</v>
      </c>
      <c r="EN138" s="198">
        <v>1.55</v>
      </c>
      <c r="EO138" s="103">
        <f t="shared" si="7"/>
        <v>0.19999999999999996</v>
      </c>
      <c r="EP138" s="59">
        <v>0.15</v>
      </c>
      <c r="EQ138" s="104">
        <v>0</v>
      </c>
      <c r="ER138" s="104">
        <v>0</v>
      </c>
      <c r="ES138" s="104">
        <v>0</v>
      </c>
      <c r="ET138" s="198">
        <v>6</v>
      </c>
      <c r="EU138" s="104">
        <v>0</v>
      </c>
      <c r="EV138" s="198">
        <v>2</v>
      </c>
      <c r="EW138" s="198">
        <v>20</v>
      </c>
      <c r="EX138" s="198">
        <v>15</v>
      </c>
      <c r="EY138" s="104">
        <v>0</v>
      </c>
      <c r="EZ138" s="104">
        <v>0</v>
      </c>
      <c r="FA138" s="104">
        <v>0</v>
      </c>
      <c r="FB138" s="104">
        <v>0</v>
      </c>
      <c r="FC138" s="59"/>
      <c r="FD138" s="59"/>
      <c r="FE138" s="59"/>
      <c r="FF138" s="59"/>
      <c r="FG138" s="59"/>
      <c r="FH138" s="59"/>
      <c r="FI138" s="59"/>
      <c r="FJ138" s="59"/>
      <c r="FK138" s="59"/>
      <c r="FL138" s="59"/>
      <c r="FM138" s="59"/>
      <c r="FN138" s="59"/>
      <c r="FO138" s="59"/>
      <c r="FP138" s="59"/>
      <c r="FQ138" s="59"/>
      <c r="FR138" s="59"/>
      <c r="FS138" s="59"/>
      <c r="FT138" s="59"/>
      <c r="FU138" s="59"/>
      <c r="FV138" s="59"/>
      <c r="FW138" s="59"/>
      <c r="FX138" s="59"/>
      <c r="FY138" s="59"/>
      <c r="FZ138" s="59"/>
      <c r="GA138" s="59"/>
      <c r="GB138" s="59"/>
      <c r="GC138" s="59"/>
      <c r="GD138" s="59"/>
      <c r="GE138" s="59"/>
      <c r="GF138" s="59"/>
      <c r="GG138" s="59"/>
      <c r="GH138" s="59"/>
      <c r="GI138" s="59"/>
      <c r="GJ138" s="59"/>
      <c r="GK138" s="59"/>
      <c r="GL138" s="59"/>
      <c r="GM138" s="59"/>
      <c r="GN138" s="59"/>
      <c r="GO138" s="59"/>
      <c r="GP138" s="59"/>
      <c r="GQ138" s="59"/>
      <c r="GR138" s="59"/>
      <c r="GS138" s="59"/>
      <c r="GT138" s="59"/>
    </row>
    <row r="139" spans="1:202" ht="27" customHeight="1">
      <c r="A139" s="92"/>
      <c r="B139" s="93"/>
      <c r="C139" s="94"/>
      <c r="D139" s="94"/>
      <c r="E139" s="105"/>
      <c r="F139" s="95"/>
      <c r="G139" s="96"/>
      <c r="H139" s="96"/>
      <c r="I139" s="59"/>
      <c r="J139" s="59"/>
      <c r="K139" s="95"/>
      <c r="L139" s="95"/>
      <c r="M139" s="59"/>
      <c r="N139" s="59"/>
      <c r="O139" s="95"/>
      <c r="P139" s="59"/>
      <c r="Q139" s="59"/>
      <c r="R139" s="59"/>
      <c r="S139" s="59"/>
      <c r="T139" s="59"/>
      <c r="U139" s="98"/>
      <c r="V139" s="99"/>
      <c r="W139" s="98"/>
      <c r="X139" s="99"/>
      <c r="Y139" s="98"/>
      <c r="Z139" s="99"/>
      <c r="AA139" s="59"/>
      <c r="AB139" s="59"/>
      <c r="AC139" s="59"/>
      <c r="AD139" s="59"/>
      <c r="AE139" s="100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 t="s">
        <v>283</v>
      </c>
      <c r="DW139" s="197" t="s">
        <v>284</v>
      </c>
      <c r="DX139" s="59" t="s">
        <v>285</v>
      </c>
      <c r="DY139" s="198" t="s">
        <v>309</v>
      </c>
      <c r="DZ139" s="198" t="s">
        <v>310</v>
      </c>
      <c r="EA139" s="59">
        <f>6.6-5</f>
        <v>1.5999999999999996</v>
      </c>
      <c r="EB139" s="59">
        <v>2538</v>
      </c>
      <c r="EC139" s="59" t="s">
        <v>185</v>
      </c>
      <c r="ED139" s="198">
        <v>1.087</v>
      </c>
      <c r="EE139" s="198">
        <v>2.6</v>
      </c>
      <c r="EF139" s="198">
        <v>0.418</v>
      </c>
      <c r="EG139" s="198" t="s">
        <v>300</v>
      </c>
      <c r="EH139" s="102" t="s">
        <v>289</v>
      </c>
      <c r="EI139" s="198">
        <v>1.1</v>
      </c>
      <c r="EJ139" s="198">
        <v>1</v>
      </c>
      <c r="EK139" s="198">
        <v>0.018</v>
      </c>
      <c r="EL139" s="198">
        <v>0.552</v>
      </c>
      <c r="EM139" s="198">
        <v>0.06</v>
      </c>
      <c r="EN139" s="198">
        <v>1.2</v>
      </c>
      <c r="EO139" s="103">
        <f t="shared" si="7"/>
        <v>0.19999999999999996</v>
      </c>
      <c r="EP139" s="59">
        <v>0.15</v>
      </c>
      <c r="EQ139" s="104">
        <v>0</v>
      </c>
      <c r="ER139" s="104">
        <v>0</v>
      </c>
      <c r="ES139" s="104">
        <v>0</v>
      </c>
      <c r="ET139" s="198">
        <v>6</v>
      </c>
      <c r="EU139" s="104">
        <v>0</v>
      </c>
      <c r="EV139" s="198">
        <v>2</v>
      </c>
      <c r="EW139" s="198">
        <v>20</v>
      </c>
      <c r="EX139" s="198">
        <v>15</v>
      </c>
      <c r="EY139" s="104">
        <v>0</v>
      </c>
      <c r="EZ139" s="104">
        <v>0</v>
      </c>
      <c r="FA139" s="104">
        <v>0</v>
      </c>
      <c r="FB139" s="104">
        <v>0</v>
      </c>
      <c r="FC139" s="59"/>
      <c r="FD139" s="59"/>
      <c r="FE139" s="59"/>
      <c r="FF139" s="59"/>
      <c r="FG139" s="59"/>
      <c r="FH139" s="59"/>
      <c r="FI139" s="59"/>
      <c r="FJ139" s="59"/>
      <c r="FK139" s="59"/>
      <c r="FL139" s="59"/>
      <c r="FM139" s="59"/>
      <c r="FN139" s="59"/>
      <c r="FO139" s="59"/>
      <c r="FP139" s="59"/>
      <c r="FQ139" s="59"/>
      <c r="FR139" s="59"/>
      <c r="FS139" s="59"/>
      <c r="FT139" s="59"/>
      <c r="FU139" s="59"/>
      <c r="FV139" s="59"/>
      <c r="FW139" s="59"/>
      <c r="FX139" s="59"/>
      <c r="FY139" s="59"/>
      <c r="FZ139" s="59"/>
      <c r="GA139" s="59"/>
      <c r="GB139" s="59"/>
      <c r="GC139" s="59"/>
      <c r="GD139" s="59"/>
      <c r="GE139" s="59"/>
      <c r="GF139" s="59"/>
      <c r="GG139" s="59"/>
      <c r="GH139" s="59"/>
      <c r="GI139" s="59"/>
      <c r="GJ139" s="59"/>
      <c r="GK139" s="59"/>
      <c r="GL139" s="59"/>
      <c r="GM139" s="59"/>
      <c r="GN139" s="59"/>
      <c r="GO139" s="59"/>
      <c r="GP139" s="59"/>
      <c r="GQ139" s="59"/>
      <c r="GR139" s="59"/>
      <c r="GS139" s="59"/>
      <c r="GT139" s="59"/>
    </row>
    <row r="140" spans="1:202" ht="27" customHeight="1">
      <c r="A140" s="92"/>
      <c r="B140" s="93"/>
      <c r="C140" s="94"/>
      <c r="D140" s="94"/>
      <c r="E140" s="105"/>
      <c r="F140" s="95"/>
      <c r="G140" s="96"/>
      <c r="H140" s="96"/>
      <c r="I140" s="59"/>
      <c r="J140" s="59"/>
      <c r="K140" s="95"/>
      <c r="L140" s="95"/>
      <c r="M140" s="59"/>
      <c r="N140" s="59"/>
      <c r="O140" s="95"/>
      <c r="P140" s="59"/>
      <c r="Q140" s="59"/>
      <c r="R140" s="59"/>
      <c r="S140" s="59"/>
      <c r="T140" s="59"/>
      <c r="U140" s="98"/>
      <c r="V140" s="99"/>
      <c r="W140" s="98"/>
      <c r="X140" s="99"/>
      <c r="Y140" s="98"/>
      <c r="Z140" s="99"/>
      <c r="AA140" s="59"/>
      <c r="AB140" s="59"/>
      <c r="AC140" s="59"/>
      <c r="AD140" s="59"/>
      <c r="AE140" s="100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 t="s">
        <v>283</v>
      </c>
      <c r="DW140" s="197" t="s">
        <v>284</v>
      </c>
      <c r="DX140" s="59"/>
      <c r="DY140" s="198" t="s">
        <v>310</v>
      </c>
      <c r="DZ140" s="198" t="s">
        <v>311</v>
      </c>
      <c r="EA140" s="59">
        <f>8.2-6.6</f>
        <v>1.5999999999999996</v>
      </c>
      <c r="EB140" s="59">
        <v>2538</v>
      </c>
      <c r="EC140" s="59" t="s">
        <v>185</v>
      </c>
      <c r="ED140" s="199">
        <v>0.399</v>
      </c>
      <c r="EE140" s="200">
        <v>1.225</v>
      </c>
      <c r="EF140" s="199">
        <v>0.38</v>
      </c>
      <c r="EG140" s="198" t="s">
        <v>300</v>
      </c>
      <c r="EH140" s="102" t="s">
        <v>289</v>
      </c>
      <c r="EI140" s="198">
        <v>0.7</v>
      </c>
      <c r="EJ140" s="200">
        <v>0.7</v>
      </c>
      <c r="EK140" s="199">
        <v>0.018</v>
      </c>
      <c r="EL140" s="200">
        <v>0.38</v>
      </c>
      <c r="EM140" s="198">
        <v>0.06</v>
      </c>
      <c r="EN140" s="201">
        <v>0.85</v>
      </c>
      <c r="EO140" s="103">
        <f t="shared" si="7"/>
        <v>0.15000000000000002</v>
      </c>
      <c r="EP140" s="59">
        <v>0.15</v>
      </c>
      <c r="EQ140" s="104">
        <v>0</v>
      </c>
      <c r="ER140" s="104">
        <v>0</v>
      </c>
      <c r="ES140" s="104">
        <v>0</v>
      </c>
      <c r="ET140" s="198">
        <v>6</v>
      </c>
      <c r="EU140" s="104">
        <v>0</v>
      </c>
      <c r="EV140" s="198">
        <v>2</v>
      </c>
      <c r="EW140" s="199">
        <v>15</v>
      </c>
      <c r="EX140" s="200">
        <v>15</v>
      </c>
      <c r="EY140" s="104">
        <v>0</v>
      </c>
      <c r="EZ140" s="104">
        <v>0</v>
      </c>
      <c r="FA140" s="104">
        <v>0</v>
      </c>
      <c r="FB140" s="104">
        <v>0</v>
      </c>
      <c r="FC140" s="59"/>
      <c r="FD140" s="59"/>
      <c r="FE140" s="59"/>
      <c r="FF140" s="59"/>
      <c r="FG140" s="59"/>
      <c r="FH140" s="59"/>
      <c r="FI140" s="59"/>
      <c r="FJ140" s="59"/>
      <c r="FK140" s="59"/>
      <c r="FL140" s="59"/>
      <c r="FM140" s="59"/>
      <c r="FN140" s="59"/>
      <c r="FO140" s="59"/>
      <c r="FP140" s="59"/>
      <c r="FQ140" s="59"/>
      <c r="FR140" s="59"/>
      <c r="FS140" s="59"/>
      <c r="FT140" s="59"/>
      <c r="FU140" s="59"/>
      <c r="FV140" s="59"/>
      <c r="FW140" s="59"/>
      <c r="FX140" s="59"/>
      <c r="FY140" s="59"/>
      <c r="FZ140" s="59"/>
      <c r="GA140" s="59"/>
      <c r="GB140" s="59"/>
      <c r="GC140" s="59"/>
      <c r="GD140" s="59"/>
      <c r="GE140" s="59"/>
      <c r="GF140" s="59"/>
      <c r="GG140" s="59"/>
      <c r="GH140" s="59"/>
      <c r="GI140" s="59"/>
      <c r="GJ140" s="59"/>
      <c r="GK140" s="59"/>
      <c r="GL140" s="59"/>
      <c r="GM140" s="59"/>
      <c r="GN140" s="59"/>
      <c r="GO140" s="59"/>
      <c r="GP140" s="59"/>
      <c r="GQ140" s="59"/>
      <c r="GR140" s="59"/>
      <c r="GS140" s="59"/>
      <c r="GT140" s="59"/>
    </row>
    <row r="141" spans="1:202" ht="27" customHeight="1">
      <c r="A141" s="92"/>
      <c r="B141" s="93"/>
      <c r="C141" s="94"/>
      <c r="D141" s="94"/>
      <c r="E141" s="105"/>
      <c r="F141" s="95"/>
      <c r="G141" s="96"/>
      <c r="H141" s="96"/>
      <c r="I141" s="59"/>
      <c r="J141" s="59"/>
      <c r="K141" s="95"/>
      <c r="L141" s="95"/>
      <c r="M141" s="59"/>
      <c r="N141" s="59"/>
      <c r="O141" s="95"/>
      <c r="P141" s="59"/>
      <c r="Q141" s="59"/>
      <c r="R141" s="59"/>
      <c r="S141" s="59"/>
      <c r="T141" s="59"/>
      <c r="U141" s="98"/>
      <c r="V141" s="99"/>
      <c r="W141" s="98"/>
      <c r="X141" s="99"/>
      <c r="Y141" s="98"/>
      <c r="Z141" s="99"/>
      <c r="AA141" s="59"/>
      <c r="AB141" s="59"/>
      <c r="AC141" s="59"/>
      <c r="AD141" s="59"/>
      <c r="AE141" s="100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 t="s">
        <v>283</v>
      </c>
      <c r="DW141" s="197" t="s">
        <v>284</v>
      </c>
      <c r="DX141" s="59" t="s">
        <v>285</v>
      </c>
      <c r="DY141" s="198" t="s">
        <v>311</v>
      </c>
      <c r="DZ141" s="198" t="s">
        <v>312</v>
      </c>
      <c r="EA141" s="59">
        <f>9.55-8.2</f>
        <v>1.3500000000000014</v>
      </c>
      <c r="EB141" s="59">
        <v>2538</v>
      </c>
      <c r="EC141" s="59" t="s">
        <v>185</v>
      </c>
      <c r="ED141" s="198">
        <v>0.163</v>
      </c>
      <c r="EE141" s="198">
        <v>0.625</v>
      </c>
      <c r="EF141" s="198">
        <v>0.26</v>
      </c>
      <c r="EG141" s="198" t="s">
        <v>300</v>
      </c>
      <c r="EH141" s="102" t="s">
        <v>289</v>
      </c>
      <c r="EI141" s="198">
        <v>0.5</v>
      </c>
      <c r="EJ141" s="198">
        <v>0.5</v>
      </c>
      <c r="EK141" s="198">
        <v>0.018</v>
      </c>
      <c r="EL141" s="198">
        <v>0.271</v>
      </c>
      <c r="EM141" s="198">
        <v>0.06</v>
      </c>
      <c r="EN141" s="198">
        <v>0.655</v>
      </c>
      <c r="EO141" s="103">
        <f t="shared" si="7"/>
        <v>0.15500000000000003</v>
      </c>
      <c r="EP141" s="59">
        <v>0.15</v>
      </c>
      <c r="EQ141" s="104">
        <v>0</v>
      </c>
      <c r="ER141" s="104">
        <v>0</v>
      </c>
      <c r="ES141" s="104">
        <v>0</v>
      </c>
      <c r="ET141" s="198">
        <v>6</v>
      </c>
      <c r="EU141" s="104">
        <v>0</v>
      </c>
      <c r="EV141" s="198">
        <v>2</v>
      </c>
      <c r="EW141" s="198">
        <v>15</v>
      </c>
      <c r="EX141" s="198">
        <v>15</v>
      </c>
      <c r="EY141" s="104">
        <v>0</v>
      </c>
      <c r="EZ141" s="104">
        <v>0</v>
      </c>
      <c r="FA141" s="104">
        <v>0</v>
      </c>
      <c r="FB141" s="104">
        <v>0</v>
      </c>
      <c r="FC141" s="59"/>
      <c r="FD141" s="59"/>
      <c r="FE141" s="59"/>
      <c r="FF141" s="59"/>
      <c r="FG141" s="59"/>
      <c r="FH141" s="59"/>
      <c r="FI141" s="59"/>
      <c r="FJ141" s="59"/>
      <c r="FK141" s="59"/>
      <c r="FL141" s="59"/>
      <c r="FM141" s="59"/>
      <c r="FN141" s="59"/>
      <c r="FO141" s="59"/>
      <c r="FP141" s="59"/>
      <c r="FQ141" s="59"/>
      <c r="FR141" s="59"/>
      <c r="FS141" s="59"/>
      <c r="FT141" s="59"/>
      <c r="FU141" s="59"/>
      <c r="FV141" s="59"/>
      <c r="FW141" s="59"/>
      <c r="FX141" s="59"/>
      <c r="FY141" s="59"/>
      <c r="FZ141" s="59"/>
      <c r="GA141" s="59"/>
      <c r="GB141" s="59"/>
      <c r="GC141" s="59"/>
      <c r="GD141" s="59"/>
      <c r="GE141" s="59"/>
      <c r="GF141" s="59"/>
      <c r="GG141" s="59"/>
      <c r="GH141" s="59"/>
      <c r="GI141" s="59"/>
      <c r="GJ141" s="59"/>
      <c r="GK141" s="59"/>
      <c r="GL141" s="59"/>
      <c r="GM141" s="59"/>
      <c r="GN141" s="59"/>
      <c r="GO141" s="59"/>
      <c r="GP141" s="59"/>
      <c r="GQ141" s="59"/>
      <c r="GR141" s="59"/>
      <c r="GS141" s="59"/>
      <c r="GT141" s="59"/>
    </row>
    <row r="142" spans="1:202" ht="27" customHeight="1">
      <c r="A142" s="92"/>
      <c r="B142" s="93"/>
      <c r="C142" s="94"/>
      <c r="D142" s="94"/>
      <c r="E142" s="105"/>
      <c r="F142" s="95"/>
      <c r="G142" s="96"/>
      <c r="H142" s="96"/>
      <c r="I142" s="59"/>
      <c r="J142" s="59"/>
      <c r="K142" s="95"/>
      <c r="L142" s="95"/>
      <c r="M142" s="59"/>
      <c r="N142" s="59"/>
      <c r="O142" s="95"/>
      <c r="P142" s="59"/>
      <c r="Q142" s="59"/>
      <c r="R142" s="59"/>
      <c r="S142" s="59"/>
      <c r="T142" s="59"/>
      <c r="U142" s="98"/>
      <c r="V142" s="99"/>
      <c r="W142" s="98"/>
      <c r="X142" s="99"/>
      <c r="Y142" s="98"/>
      <c r="Z142" s="99"/>
      <c r="AA142" s="59"/>
      <c r="AB142" s="59"/>
      <c r="AC142" s="59"/>
      <c r="AD142" s="59"/>
      <c r="AE142" s="100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 t="s">
        <v>283</v>
      </c>
      <c r="DW142" s="197" t="s">
        <v>17</v>
      </c>
      <c r="DX142" s="59" t="s">
        <v>285</v>
      </c>
      <c r="DY142" s="198" t="s">
        <v>312</v>
      </c>
      <c r="DZ142" s="198" t="s">
        <v>313</v>
      </c>
      <c r="EA142" s="59">
        <f>10.12-9.55</f>
        <v>0.5699999999999985</v>
      </c>
      <c r="EB142" s="59">
        <v>2538</v>
      </c>
      <c r="EC142" s="59" t="s">
        <v>185</v>
      </c>
      <c r="ED142" s="198">
        <v>0.141</v>
      </c>
      <c r="EE142" s="198">
        <v>0.75</v>
      </c>
      <c r="EF142" s="198">
        <v>0.189</v>
      </c>
      <c r="EG142" s="198" t="s">
        <v>300</v>
      </c>
      <c r="EH142" s="102" t="s">
        <v>289</v>
      </c>
      <c r="EI142" s="198">
        <v>0.5</v>
      </c>
      <c r="EJ142" s="198">
        <v>0.5</v>
      </c>
      <c r="EK142" s="198">
        <v>0.025</v>
      </c>
      <c r="EL142" s="198">
        <v>0.274</v>
      </c>
      <c r="EM142" s="198" t="s">
        <v>185</v>
      </c>
      <c r="EN142" s="198" t="s">
        <v>185</v>
      </c>
      <c r="EO142" s="103">
        <v>0</v>
      </c>
      <c r="EP142" s="59">
        <v>0.15</v>
      </c>
      <c r="EQ142" s="104">
        <v>0</v>
      </c>
      <c r="ER142" s="104">
        <v>0</v>
      </c>
      <c r="ES142" s="104">
        <v>0</v>
      </c>
      <c r="ET142" s="198">
        <v>2</v>
      </c>
      <c r="EU142" s="104">
        <v>0</v>
      </c>
      <c r="EV142" s="198">
        <v>2</v>
      </c>
      <c r="EW142" s="198">
        <v>10</v>
      </c>
      <c r="EX142" s="198">
        <v>10</v>
      </c>
      <c r="EY142" s="104">
        <v>0</v>
      </c>
      <c r="EZ142" s="104">
        <v>0</v>
      </c>
      <c r="FA142" s="104">
        <v>0</v>
      </c>
      <c r="FB142" s="104">
        <v>0</v>
      </c>
      <c r="FC142" s="59"/>
      <c r="FD142" s="59"/>
      <c r="FE142" s="59"/>
      <c r="FF142" s="59"/>
      <c r="FG142" s="59"/>
      <c r="FH142" s="59"/>
      <c r="FI142" s="59"/>
      <c r="FJ142" s="59"/>
      <c r="FK142" s="59"/>
      <c r="FL142" s="59"/>
      <c r="FM142" s="59"/>
      <c r="FN142" s="59"/>
      <c r="FO142" s="59"/>
      <c r="FP142" s="59"/>
      <c r="FQ142" s="59"/>
      <c r="FR142" s="59"/>
      <c r="FS142" s="59"/>
      <c r="FT142" s="59"/>
      <c r="FU142" s="59"/>
      <c r="FV142" s="59"/>
      <c r="FW142" s="59"/>
      <c r="FX142" s="59"/>
      <c r="FY142" s="59"/>
      <c r="FZ142" s="59"/>
      <c r="GA142" s="59"/>
      <c r="GB142" s="59"/>
      <c r="GC142" s="59"/>
      <c r="GD142" s="59"/>
      <c r="GE142" s="59"/>
      <c r="GF142" s="59"/>
      <c r="GG142" s="59"/>
      <c r="GH142" s="59"/>
      <c r="GI142" s="59"/>
      <c r="GJ142" s="59"/>
      <c r="GK142" s="59"/>
      <c r="GL142" s="59"/>
      <c r="GM142" s="59"/>
      <c r="GN142" s="59"/>
      <c r="GO142" s="59"/>
      <c r="GP142" s="59"/>
      <c r="GQ142" s="59"/>
      <c r="GR142" s="59"/>
      <c r="GS142" s="59"/>
      <c r="GT142" s="59"/>
    </row>
    <row r="143" spans="1:202" ht="27" customHeight="1">
      <c r="A143" s="92"/>
      <c r="B143" s="93"/>
      <c r="C143" s="94"/>
      <c r="D143" s="94"/>
      <c r="E143" s="105"/>
      <c r="F143" s="95"/>
      <c r="G143" s="96"/>
      <c r="H143" s="96"/>
      <c r="I143" s="59"/>
      <c r="J143" s="59"/>
      <c r="K143" s="95"/>
      <c r="L143" s="95"/>
      <c r="M143" s="59"/>
      <c r="N143" s="59"/>
      <c r="O143" s="95"/>
      <c r="P143" s="59"/>
      <c r="Q143" s="59"/>
      <c r="R143" s="59"/>
      <c r="S143" s="59"/>
      <c r="T143" s="59"/>
      <c r="U143" s="98"/>
      <c r="V143" s="99"/>
      <c r="W143" s="98"/>
      <c r="X143" s="99"/>
      <c r="Y143" s="98"/>
      <c r="Z143" s="99"/>
      <c r="AA143" s="59"/>
      <c r="AB143" s="59"/>
      <c r="AC143" s="59"/>
      <c r="AD143" s="59"/>
      <c r="AE143" s="100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 t="s">
        <v>327</v>
      </c>
      <c r="DW143" s="197" t="s">
        <v>284</v>
      </c>
      <c r="DX143" s="59" t="s">
        <v>285</v>
      </c>
      <c r="DY143" s="198" t="s">
        <v>286</v>
      </c>
      <c r="DZ143" s="198" t="s">
        <v>314</v>
      </c>
      <c r="EA143" s="59">
        <f>3.03-0</f>
        <v>3.03</v>
      </c>
      <c r="EB143" s="59">
        <v>2538</v>
      </c>
      <c r="EC143" s="59" t="s">
        <v>185</v>
      </c>
      <c r="ED143" s="198">
        <v>1.069</v>
      </c>
      <c r="EE143" s="198">
        <v>2.304</v>
      </c>
      <c r="EF143" s="198">
        <v>0.464</v>
      </c>
      <c r="EG143" s="198" t="s">
        <v>324</v>
      </c>
      <c r="EH143" s="102" t="s">
        <v>289</v>
      </c>
      <c r="EI143" s="198">
        <v>1</v>
      </c>
      <c r="EJ143" s="198">
        <v>0.95</v>
      </c>
      <c r="EK143" s="198">
        <v>0.018</v>
      </c>
      <c r="EL143" s="198">
        <v>0.521</v>
      </c>
      <c r="EM143" s="198">
        <v>0.06</v>
      </c>
      <c r="EN143" s="198">
        <v>1.15</v>
      </c>
      <c r="EO143" s="103">
        <f t="shared" si="7"/>
        <v>0.19999999999999996</v>
      </c>
      <c r="EP143" s="59">
        <v>0.15</v>
      </c>
      <c r="EQ143" s="104">
        <v>0</v>
      </c>
      <c r="ER143" s="104">
        <v>0</v>
      </c>
      <c r="ES143" s="104">
        <v>0</v>
      </c>
      <c r="ET143" s="198">
        <v>5</v>
      </c>
      <c r="EU143" s="104">
        <v>0</v>
      </c>
      <c r="EV143" s="198">
        <v>5</v>
      </c>
      <c r="EW143" s="198">
        <v>15</v>
      </c>
      <c r="EX143" s="198">
        <v>15</v>
      </c>
      <c r="EY143" s="104">
        <v>0</v>
      </c>
      <c r="EZ143" s="104">
        <v>0</v>
      </c>
      <c r="FA143" s="104">
        <v>0</v>
      </c>
      <c r="FB143" s="104">
        <v>0</v>
      </c>
      <c r="FC143" s="59"/>
      <c r="FD143" s="59"/>
      <c r="FE143" s="59"/>
      <c r="FF143" s="59"/>
      <c r="FG143" s="59"/>
      <c r="FH143" s="59"/>
      <c r="FI143" s="59"/>
      <c r="FJ143" s="59"/>
      <c r="FK143" s="59"/>
      <c r="FL143" s="59"/>
      <c r="FM143" s="59"/>
      <c r="FN143" s="59"/>
      <c r="FO143" s="59"/>
      <c r="FP143" s="59"/>
      <c r="FQ143" s="59"/>
      <c r="FR143" s="59"/>
      <c r="FS143" s="59"/>
      <c r="FT143" s="59"/>
      <c r="FU143" s="59"/>
      <c r="FV143" s="59"/>
      <c r="FW143" s="59"/>
      <c r="FX143" s="59"/>
      <c r="FY143" s="59"/>
      <c r="FZ143" s="59"/>
      <c r="GA143" s="59"/>
      <c r="GB143" s="59"/>
      <c r="GC143" s="59"/>
      <c r="GD143" s="59"/>
      <c r="GE143" s="59"/>
      <c r="GF143" s="59"/>
      <c r="GG143" s="59"/>
      <c r="GH143" s="59"/>
      <c r="GI143" s="59"/>
      <c r="GJ143" s="59"/>
      <c r="GK143" s="59"/>
      <c r="GL143" s="59"/>
      <c r="GM143" s="59"/>
      <c r="GN143" s="59"/>
      <c r="GO143" s="59"/>
      <c r="GP143" s="59"/>
      <c r="GQ143" s="59"/>
      <c r="GR143" s="59"/>
      <c r="GS143" s="59"/>
      <c r="GT143" s="59"/>
    </row>
    <row r="144" spans="1:202" ht="27" customHeight="1">
      <c r="A144" s="92"/>
      <c r="B144" s="93"/>
      <c r="C144" s="94"/>
      <c r="D144" s="94"/>
      <c r="E144" s="105"/>
      <c r="F144" s="95"/>
      <c r="G144" s="96"/>
      <c r="H144" s="96"/>
      <c r="I144" s="59"/>
      <c r="J144" s="59"/>
      <c r="K144" s="95"/>
      <c r="L144" s="95"/>
      <c r="M144" s="59"/>
      <c r="N144" s="59"/>
      <c r="O144" s="95"/>
      <c r="P144" s="59"/>
      <c r="Q144" s="59"/>
      <c r="R144" s="59"/>
      <c r="S144" s="59"/>
      <c r="T144" s="59"/>
      <c r="U144" s="98"/>
      <c r="V144" s="99"/>
      <c r="W144" s="98"/>
      <c r="X144" s="99"/>
      <c r="Y144" s="98"/>
      <c r="Z144" s="99"/>
      <c r="AA144" s="59"/>
      <c r="AB144" s="59"/>
      <c r="AC144" s="59"/>
      <c r="AD144" s="59"/>
      <c r="AE144" s="100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 t="s">
        <v>327</v>
      </c>
      <c r="DW144" s="197" t="s">
        <v>284</v>
      </c>
      <c r="DX144" s="59" t="s">
        <v>285</v>
      </c>
      <c r="DY144" s="198" t="s">
        <v>314</v>
      </c>
      <c r="DZ144" s="198" t="s">
        <v>315</v>
      </c>
      <c r="EA144" s="59">
        <f>6.05-3.03</f>
        <v>3.02</v>
      </c>
      <c r="EB144" s="59">
        <v>2538</v>
      </c>
      <c r="EC144" s="59" t="s">
        <v>185</v>
      </c>
      <c r="ED144" s="198">
        <v>0.573</v>
      </c>
      <c r="EE144" s="198">
        <v>1.444</v>
      </c>
      <c r="EF144" s="198">
        <v>0.397</v>
      </c>
      <c r="EG144" s="198" t="s">
        <v>324</v>
      </c>
      <c r="EH144" s="102" t="s">
        <v>289</v>
      </c>
      <c r="EI144" s="198">
        <v>0.8</v>
      </c>
      <c r="EJ144" s="198">
        <v>0.75</v>
      </c>
      <c r="EK144" s="198">
        <v>0.018</v>
      </c>
      <c r="EL144" s="198">
        <v>0.412</v>
      </c>
      <c r="EM144" s="198">
        <v>0.06</v>
      </c>
      <c r="EN144" s="198">
        <v>0.9</v>
      </c>
      <c r="EO144" s="103">
        <f t="shared" si="7"/>
        <v>0.15000000000000002</v>
      </c>
      <c r="EP144" s="59">
        <v>0.15</v>
      </c>
      <c r="EQ144" s="104">
        <v>0</v>
      </c>
      <c r="ER144" s="104">
        <v>0</v>
      </c>
      <c r="ES144" s="104">
        <v>0</v>
      </c>
      <c r="ET144" s="198">
        <v>5</v>
      </c>
      <c r="EU144" s="104">
        <v>0</v>
      </c>
      <c r="EV144" s="198">
        <v>5</v>
      </c>
      <c r="EW144" s="198">
        <v>15</v>
      </c>
      <c r="EX144" s="198">
        <v>15</v>
      </c>
      <c r="EY144" s="104">
        <v>0</v>
      </c>
      <c r="EZ144" s="104">
        <v>0</v>
      </c>
      <c r="FA144" s="104">
        <v>0</v>
      </c>
      <c r="FB144" s="104">
        <v>0</v>
      </c>
      <c r="FC144" s="59"/>
      <c r="FD144" s="59"/>
      <c r="FE144" s="59"/>
      <c r="FF144" s="59"/>
      <c r="FG144" s="59"/>
      <c r="FH144" s="59"/>
      <c r="FI144" s="59"/>
      <c r="FJ144" s="59"/>
      <c r="FK144" s="59"/>
      <c r="FL144" s="59"/>
      <c r="FM144" s="59"/>
      <c r="FN144" s="59"/>
      <c r="FO144" s="59"/>
      <c r="FP144" s="59"/>
      <c r="FQ144" s="59"/>
      <c r="FR144" s="59"/>
      <c r="FS144" s="59"/>
      <c r="FT144" s="59"/>
      <c r="FU144" s="59"/>
      <c r="FV144" s="59"/>
      <c r="FW144" s="59"/>
      <c r="FX144" s="59"/>
      <c r="FY144" s="59"/>
      <c r="FZ144" s="59"/>
      <c r="GA144" s="59"/>
      <c r="GB144" s="59"/>
      <c r="GC144" s="59"/>
      <c r="GD144" s="59"/>
      <c r="GE144" s="59"/>
      <c r="GF144" s="59"/>
      <c r="GG144" s="59"/>
      <c r="GH144" s="59"/>
      <c r="GI144" s="59"/>
      <c r="GJ144" s="59"/>
      <c r="GK144" s="59"/>
      <c r="GL144" s="59"/>
      <c r="GM144" s="59"/>
      <c r="GN144" s="59"/>
      <c r="GO144" s="59"/>
      <c r="GP144" s="59"/>
      <c r="GQ144" s="59"/>
      <c r="GR144" s="59"/>
      <c r="GS144" s="59"/>
      <c r="GT144" s="59"/>
    </row>
    <row r="145" spans="1:202" ht="27" customHeight="1">
      <c r="A145" s="92"/>
      <c r="B145" s="93"/>
      <c r="C145" s="94"/>
      <c r="D145" s="94"/>
      <c r="E145" s="105"/>
      <c r="F145" s="95"/>
      <c r="G145" s="96"/>
      <c r="H145" s="96"/>
      <c r="I145" s="59"/>
      <c r="J145" s="59"/>
      <c r="K145" s="95"/>
      <c r="L145" s="95"/>
      <c r="M145" s="59"/>
      <c r="N145" s="59"/>
      <c r="O145" s="95"/>
      <c r="P145" s="59"/>
      <c r="Q145" s="59"/>
      <c r="R145" s="59"/>
      <c r="S145" s="59"/>
      <c r="T145" s="59"/>
      <c r="U145" s="98"/>
      <c r="V145" s="99"/>
      <c r="W145" s="98"/>
      <c r="X145" s="99"/>
      <c r="Y145" s="98"/>
      <c r="Z145" s="99"/>
      <c r="AA145" s="59"/>
      <c r="AB145" s="59"/>
      <c r="AC145" s="59"/>
      <c r="AD145" s="59"/>
      <c r="AE145" s="100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 t="s">
        <v>327</v>
      </c>
      <c r="DW145" s="197" t="s">
        <v>284</v>
      </c>
      <c r="DX145" s="59" t="s">
        <v>285</v>
      </c>
      <c r="DY145" s="198" t="s">
        <v>315</v>
      </c>
      <c r="DZ145" s="198" t="s">
        <v>316</v>
      </c>
      <c r="EA145" s="59">
        <f>7.4-6.05</f>
        <v>1.3500000000000005</v>
      </c>
      <c r="EB145" s="59">
        <v>2538</v>
      </c>
      <c r="EC145" s="59" t="s">
        <v>185</v>
      </c>
      <c r="ED145" s="198">
        <v>0.188</v>
      </c>
      <c r="EE145" s="198">
        <v>0.625</v>
      </c>
      <c r="EF145" s="198">
        <v>0.3</v>
      </c>
      <c r="EG145" s="198" t="s">
        <v>324</v>
      </c>
      <c r="EH145" s="102" t="s">
        <v>289</v>
      </c>
      <c r="EI145" s="198">
        <v>0.5</v>
      </c>
      <c r="EJ145" s="198">
        <v>0.5</v>
      </c>
      <c r="EK145" s="198">
        <v>0.018</v>
      </c>
      <c r="EL145" s="198">
        <v>0.271</v>
      </c>
      <c r="EM145" s="198">
        <v>0.06</v>
      </c>
      <c r="EN145" s="198">
        <v>0.65</v>
      </c>
      <c r="EO145" s="103">
        <f t="shared" si="7"/>
        <v>0.15000000000000002</v>
      </c>
      <c r="EP145" s="59">
        <v>0.15</v>
      </c>
      <c r="EQ145" s="104">
        <v>0</v>
      </c>
      <c r="ER145" s="104">
        <v>0</v>
      </c>
      <c r="ES145" s="104">
        <v>0</v>
      </c>
      <c r="ET145" s="198">
        <v>5</v>
      </c>
      <c r="EU145" s="104">
        <v>0</v>
      </c>
      <c r="EV145" s="198">
        <v>52</v>
      </c>
      <c r="EW145" s="198">
        <v>15</v>
      </c>
      <c r="EX145" s="198">
        <v>15</v>
      </c>
      <c r="EY145" s="104">
        <v>0</v>
      </c>
      <c r="EZ145" s="104">
        <v>0</v>
      </c>
      <c r="FA145" s="104">
        <v>0</v>
      </c>
      <c r="FB145" s="104">
        <v>0</v>
      </c>
      <c r="FC145" s="59"/>
      <c r="FD145" s="59"/>
      <c r="FE145" s="59"/>
      <c r="FF145" s="59"/>
      <c r="FG145" s="59"/>
      <c r="FH145" s="59"/>
      <c r="FI145" s="59"/>
      <c r="FJ145" s="59"/>
      <c r="FK145" s="59"/>
      <c r="FL145" s="59"/>
      <c r="FM145" s="59"/>
      <c r="FN145" s="59"/>
      <c r="FO145" s="59"/>
      <c r="FP145" s="59"/>
      <c r="FQ145" s="59"/>
      <c r="FR145" s="59"/>
      <c r="FS145" s="59"/>
      <c r="FT145" s="59"/>
      <c r="FU145" s="59"/>
      <c r="FV145" s="59"/>
      <c r="FW145" s="59"/>
      <c r="FX145" s="59"/>
      <c r="FY145" s="59"/>
      <c r="FZ145" s="59"/>
      <c r="GA145" s="59"/>
      <c r="GB145" s="59"/>
      <c r="GC145" s="59"/>
      <c r="GD145" s="59"/>
      <c r="GE145" s="59"/>
      <c r="GF145" s="59"/>
      <c r="GG145" s="59"/>
      <c r="GH145" s="59"/>
      <c r="GI145" s="59"/>
      <c r="GJ145" s="59"/>
      <c r="GK145" s="59"/>
      <c r="GL145" s="59"/>
      <c r="GM145" s="59"/>
      <c r="GN145" s="59"/>
      <c r="GO145" s="59"/>
      <c r="GP145" s="59"/>
      <c r="GQ145" s="59"/>
      <c r="GR145" s="59"/>
      <c r="GS145" s="59"/>
      <c r="GT145" s="59"/>
    </row>
    <row r="146" spans="1:202" ht="27" customHeight="1">
      <c r="A146" s="92"/>
      <c r="B146" s="93"/>
      <c r="C146" s="94"/>
      <c r="D146" s="94"/>
      <c r="E146" s="105"/>
      <c r="F146" s="95"/>
      <c r="G146" s="96"/>
      <c r="H146" s="96"/>
      <c r="I146" s="59"/>
      <c r="J146" s="59"/>
      <c r="K146" s="95"/>
      <c r="L146" s="95"/>
      <c r="M146" s="59"/>
      <c r="N146" s="59"/>
      <c r="O146" s="95"/>
      <c r="P146" s="59"/>
      <c r="Q146" s="59"/>
      <c r="R146" s="59"/>
      <c r="S146" s="59"/>
      <c r="T146" s="59"/>
      <c r="U146" s="98"/>
      <c r="V146" s="99"/>
      <c r="W146" s="98"/>
      <c r="X146" s="99"/>
      <c r="Y146" s="98"/>
      <c r="Z146" s="99"/>
      <c r="AA146" s="59"/>
      <c r="AB146" s="59"/>
      <c r="AC146" s="59"/>
      <c r="AD146" s="59"/>
      <c r="AE146" s="100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 t="s">
        <v>327</v>
      </c>
      <c r="DW146" s="197" t="s">
        <v>17</v>
      </c>
      <c r="DX146" s="59" t="s">
        <v>285</v>
      </c>
      <c r="DY146" s="198" t="s">
        <v>316</v>
      </c>
      <c r="DZ146" s="198" t="s">
        <v>317</v>
      </c>
      <c r="EA146" s="59">
        <f>7.8-7.4</f>
        <v>0.39999999999999947</v>
      </c>
      <c r="EB146" s="59">
        <v>2538</v>
      </c>
      <c r="EC146" s="59" t="s">
        <v>185</v>
      </c>
      <c r="ED146" s="198">
        <v>0.141</v>
      </c>
      <c r="EE146" s="198">
        <v>0.75</v>
      </c>
      <c r="EF146" s="198">
        <v>0.189</v>
      </c>
      <c r="EG146" s="198" t="s">
        <v>300</v>
      </c>
      <c r="EH146" s="102" t="s">
        <v>289</v>
      </c>
      <c r="EI146" s="198">
        <v>0.5</v>
      </c>
      <c r="EJ146" s="198">
        <v>0.5</v>
      </c>
      <c r="EK146" s="198">
        <v>0.025</v>
      </c>
      <c r="EL146" s="198">
        <v>0.274</v>
      </c>
      <c r="EM146" s="198" t="s">
        <v>185</v>
      </c>
      <c r="EN146" s="198" t="s">
        <v>185</v>
      </c>
      <c r="EO146" s="103">
        <v>0</v>
      </c>
      <c r="EP146" s="59">
        <v>0.15</v>
      </c>
      <c r="EQ146" s="104">
        <v>0</v>
      </c>
      <c r="ER146" s="104">
        <v>0</v>
      </c>
      <c r="ES146" s="104">
        <v>0</v>
      </c>
      <c r="ET146" s="198">
        <v>2</v>
      </c>
      <c r="EU146" s="104">
        <v>0</v>
      </c>
      <c r="EV146" s="198">
        <v>2</v>
      </c>
      <c r="EW146" s="198">
        <v>10</v>
      </c>
      <c r="EX146" s="198">
        <v>10</v>
      </c>
      <c r="EY146" s="104">
        <v>0</v>
      </c>
      <c r="EZ146" s="104">
        <v>0</v>
      </c>
      <c r="FA146" s="104">
        <v>0</v>
      </c>
      <c r="FB146" s="104">
        <v>0</v>
      </c>
      <c r="FC146" s="59"/>
      <c r="FD146" s="59"/>
      <c r="FE146" s="59"/>
      <c r="FF146" s="59"/>
      <c r="FG146" s="59"/>
      <c r="FH146" s="59"/>
      <c r="FI146" s="59"/>
      <c r="FJ146" s="59"/>
      <c r="FK146" s="59"/>
      <c r="FL146" s="59"/>
      <c r="FM146" s="59"/>
      <c r="FN146" s="59"/>
      <c r="FO146" s="59"/>
      <c r="FP146" s="59"/>
      <c r="FQ146" s="59"/>
      <c r="FR146" s="59"/>
      <c r="FS146" s="59"/>
      <c r="FT146" s="59"/>
      <c r="FU146" s="59"/>
      <c r="FV146" s="59"/>
      <c r="FW146" s="59"/>
      <c r="FX146" s="59"/>
      <c r="FY146" s="59"/>
      <c r="FZ146" s="59"/>
      <c r="GA146" s="59"/>
      <c r="GB146" s="59"/>
      <c r="GC146" s="59"/>
      <c r="GD146" s="59"/>
      <c r="GE146" s="59"/>
      <c r="GF146" s="59"/>
      <c r="GG146" s="59"/>
      <c r="GH146" s="59"/>
      <c r="GI146" s="59"/>
      <c r="GJ146" s="59"/>
      <c r="GK146" s="59"/>
      <c r="GL146" s="59"/>
      <c r="GM146" s="59"/>
      <c r="GN146" s="59"/>
      <c r="GO146" s="59"/>
      <c r="GP146" s="59"/>
      <c r="GQ146" s="59"/>
      <c r="GR146" s="59"/>
      <c r="GS146" s="59"/>
      <c r="GT146" s="59"/>
    </row>
    <row r="147" spans="1:202" ht="27" customHeight="1">
      <c r="A147" s="92"/>
      <c r="B147" s="93"/>
      <c r="C147" s="94"/>
      <c r="D147" s="94"/>
      <c r="E147" s="105"/>
      <c r="F147" s="95"/>
      <c r="G147" s="96"/>
      <c r="H147" s="96"/>
      <c r="I147" s="59"/>
      <c r="J147" s="59"/>
      <c r="K147" s="95"/>
      <c r="L147" s="95"/>
      <c r="M147" s="59"/>
      <c r="N147" s="59"/>
      <c r="O147" s="95"/>
      <c r="P147" s="59"/>
      <c r="Q147" s="59"/>
      <c r="R147" s="59"/>
      <c r="S147" s="59"/>
      <c r="T147" s="59"/>
      <c r="U147" s="98"/>
      <c r="V147" s="99"/>
      <c r="W147" s="98"/>
      <c r="X147" s="99"/>
      <c r="Y147" s="98"/>
      <c r="Z147" s="99"/>
      <c r="AA147" s="59"/>
      <c r="AB147" s="59"/>
      <c r="AC147" s="59"/>
      <c r="AD147" s="59"/>
      <c r="AE147" s="100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 t="s">
        <v>328</v>
      </c>
      <c r="DW147" s="197" t="s">
        <v>284</v>
      </c>
      <c r="DX147" s="59" t="s">
        <v>285</v>
      </c>
      <c r="DY147" s="198" t="s">
        <v>286</v>
      </c>
      <c r="DZ147" s="198" t="s">
        <v>318</v>
      </c>
      <c r="EA147" s="59">
        <f>1.05-0</f>
        <v>1.05</v>
      </c>
      <c r="EB147" s="59">
        <v>2538</v>
      </c>
      <c r="EC147" s="59" t="s">
        <v>185</v>
      </c>
      <c r="ED147" s="198">
        <v>0.228</v>
      </c>
      <c r="EE147" s="198">
        <v>0.725</v>
      </c>
      <c r="EF147" s="198">
        <v>0.314</v>
      </c>
      <c r="EG147" s="198" t="s">
        <v>324</v>
      </c>
      <c r="EH147" s="102" t="s">
        <v>289</v>
      </c>
      <c r="EI147" s="198">
        <v>0.7</v>
      </c>
      <c r="EJ147" s="198">
        <v>0.5</v>
      </c>
      <c r="EK147" s="198">
        <v>0.018</v>
      </c>
      <c r="EL147" s="198">
        <v>0.29</v>
      </c>
      <c r="EM147" s="198">
        <v>0.06</v>
      </c>
      <c r="EN147" s="198">
        <v>0.65</v>
      </c>
      <c r="EO147" s="103">
        <f t="shared" si="7"/>
        <v>0.15000000000000002</v>
      </c>
      <c r="EP147" s="59">
        <v>0.15</v>
      </c>
      <c r="EQ147" s="104">
        <v>0</v>
      </c>
      <c r="ER147" s="104">
        <v>0</v>
      </c>
      <c r="ES147" s="104">
        <v>0</v>
      </c>
      <c r="ET147" s="198">
        <v>5</v>
      </c>
      <c r="EU147" s="104">
        <v>0</v>
      </c>
      <c r="EV147" s="198">
        <v>5</v>
      </c>
      <c r="EW147" s="198">
        <v>15</v>
      </c>
      <c r="EX147" s="198">
        <v>15</v>
      </c>
      <c r="EY147" s="104">
        <v>0</v>
      </c>
      <c r="EZ147" s="104">
        <v>0</v>
      </c>
      <c r="FA147" s="104">
        <v>0</v>
      </c>
      <c r="FB147" s="104">
        <v>0</v>
      </c>
      <c r="FC147" s="59"/>
      <c r="FD147" s="59"/>
      <c r="FE147" s="59"/>
      <c r="FF147" s="59"/>
      <c r="FG147" s="59"/>
      <c r="FH147" s="59"/>
      <c r="FI147" s="59"/>
      <c r="FJ147" s="59"/>
      <c r="FK147" s="59"/>
      <c r="FL147" s="59"/>
      <c r="FM147" s="59"/>
      <c r="FN147" s="59"/>
      <c r="FO147" s="59"/>
      <c r="FP147" s="59"/>
      <c r="FQ147" s="59"/>
      <c r="FR147" s="59"/>
      <c r="FS147" s="59"/>
      <c r="FT147" s="59"/>
      <c r="FU147" s="59"/>
      <c r="FV147" s="59"/>
      <c r="FW147" s="59"/>
      <c r="FX147" s="59"/>
      <c r="FY147" s="59"/>
      <c r="FZ147" s="59"/>
      <c r="GA147" s="59"/>
      <c r="GB147" s="59"/>
      <c r="GC147" s="59"/>
      <c r="GD147" s="59"/>
      <c r="GE147" s="59"/>
      <c r="GF147" s="59"/>
      <c r="GG147" s="59"/>
      <c r="GH147" s="59"/>
      <c r="GI147" s="59"/>
      <c r="GJ147" s="59"/>
      <c r="GK147" s="59"/>
      <c r="GL147" s="59"/>
      <c r="GM147" s="59"/>
      <c r="GN147" s="59"/>
      <c r="GO147" s="59"/>
      <c r="GP147" s="59"/>
      <c r="GQ147" s="59"/>
      <c r="GR147" s="59"/>
      <c r="GS147" s="59"/>
      <c r="GT147" s="59"/>
    </row>
    <row r="148" spans="1:202" ht="27" customHeight="1">
      <c r="A148" s="92"/>
      <c r="B148" s="93"/>
      <c r="C148" s="94"/>
      <c r="D148" s="94"/>
      <c r="E148" s="105"/>
      <c r="F148" s="95"/>
      <c r="G148" s="96"/>
      <c r="H148" s="96"/>
      <c r="I148" s="59"/>
      <c r="J148" s="59"/>
      <c r="K148" s="95"/>
      <c r="L148" s="95"/>
      <c r="M148" s="59"/>
      <c r="N148" s="59"/>
      <c r="O148" s="95"/>
      <c r="P148" s="59"/>
      <c r="Q148" s="59"/>
      <c r="R148" s="59"/>
      <c r="S148" s="59"/>
      <c r="T148" s="59"/>
      <c r="U148" s="98"/>
      <c r="V148" s="99"/>
      <c r="W148" s="98"/>
      <c r="X148" s="99"/>
      <c r="Y148" s="98"/>
      <c r="Z148" s="99"/>
      <c r="AA148" s="59"/>
      <c r="AB148" s="59"/>
      <c r="AC148" s="59"/>
      <c r="AD148" s="59"/>
      <c r="AE148" s="100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 t="s">
        <v>328</v>
      </c>
      <c r="DW148" s="197" t="s">
        <v>284</v>
      </c>
      <c r="DX148" s="59" t="s">
        <v>285</v>
      </c>
      <c r="DY148" s="198" t="s">
        <v>318</v>
      </c>
      <c r="DZ148" s="198" t="s">
        <v>319</v>
      </c>
      <c r="EA148" s="59">
        <f>1.85-1.05</f>
        <v>0.8</v>
      </c>
      <c r="EB148" s="59">
        <v>2538</v>
      </c>
      <c r="EC148" s="59" t="s">
        <v>185</v>
      </c>
      <c r="ED148" s="198">
        <v>0.117</v>
      </c>
      <c r="EE148" s="198">
        <v>0.44</v>
      </c>
      <c r="EF148" s="198">
        <v>0.266</v>
      </c>
      <c r="EG148" s="198" t="s">
        <v>324</v>
      </c>
      <c r="EH148" s="102" t="s">
        <v>289</v>
      </c>
      <c r="EI148" s="198">
        <v>0.5</v>
      </c>
      <c r="EJ148" s="198">
        <v>0.4</v>
      </c>
      <c r="EK148" s="198">
        <v>0.018</v>
      </c>
      <c r="EL148" s="198">
        <v>0.226</v>
      </c>
      <c r="EM148" s="198">
        <v>0.06</v>
      </c>
      <c r="EN148" s="198">
        <v>0.55</v>
      </c>
      <c r="EO148" s="103">
        <f t="shared" si="7"/>
        <v>0.15000000000000002</v>
      </c>
      <c r="EP148" s="59">
        <v>0.15</v>
      </c>
      <c r="EQ148" s="104">
        <v>0</v>
      </c>
      <c r="ER148" s="104">
        <v>0</v>
      </c>
      <c r="ES148" s="104">
        <v>0</v>
      </c>
      <c r="ET148" s="198">
        <v>5</v>
      </c>
      <c r="EU148" s="104">
        <v>0</v>
      </c>
      <c r="EV148" s="198">
        <v>5</v>
      </c>
      <c r="EW148" s="198">
        <v>15</v>
      </c>
      <c r="EX148" s="198">
        <v>15</v>
      </c>
      <c r="EY148" s="104">
        <v>0</v>
      </c>
      <c r="EZ148" s="104">
        <v>0</v>
      </c>
      <c r="FA148" s="104">
        <v>0</v>
      </c>
      <c r="FB148" s="104">
        <v>0</v>
      </c>
      <c r="FC148" s="59"/>
      <c r="FD148" s="59"/>
      <c r="FE148" s="59"/>
      <c r="FF148" s="59"/>
      <c r="FG148" s="59"/>
      <c r="FH148" s="59"/>
      <c r="FI148" s="59"/>
      <c r="FJ148" s="59"/>
      <c r="FK148" s="59"/>
      <c r="FL148" s="59"/>
      <c r="FM148" s="59"/>
      <c r="FN148" s="59"/>
      <c r="FO148" s="59"/>
      <c r="FP148" s="59"/>
      <c r="FQ148" s="59"/>
      <c r="FR148" s="59"/>
      <c r="FS148" s="59"/>
      <c r="FT148" s="59"/>
      <c r="FU148" s="59"/>
      <c r="FV148" s="59"/>
      <c r="FW148" s="59"/>
      <c r="FX148" s="59"/>
      <c r="FY148" s="59"/>
      <c r="FZ148" s="59"/>
      <c r="GA148" s="59"/>
      <c r="GB148" s="59"/>
      <c r="GC148" s="59"/>
      <c r="GD148" s="59"/>
      <c r="GE148" s="59"/>
      <c r="GF148" s="59"/>
      <c r="GG148" s="59"/>
      <c r="GH148" s="59"/>
      <c r="GI148" s="59"/>
      <c r="GJ148" s="59"/>
      <c r="GK148" s="59"/>
      <c r="GL148" s="59"/>
      <c r="GM148" s="59"/>
      <c r="GN148" s="59"/>
      <c r="GO148" s="59"/>
      <c r="GP148" s="59"/>
      <c r="GQ148" s="59"/>
      <c r="GR148" s="59"/>
      <c r="GS148" s="59"/>
      <c r="GT148" s="59"/>
    </row>
    <row r="149" spans="1:202" ht="27" customHeight="1">
      <c r="A149" s="92"/>
      <c r="B149" s="93"/>
      <c r="C149" s="94"/>
      <c r="D149" s="94"/>
      <c r="E149" s="105"/>
      <c r="F149" s="95"/>
      <c r="G149" s="96"/>
      <c r="H149" s="96"/>
      <c r="I149" s="59"/>
      <c r="J149" s="59"/>
      <c r="K149" s="95"/>
      <c r="L149" s="95"/>
      <c r="M149" s="59"/>
      <c r="N149" s="59"/>
      <c r="O149" s="95"/>
      <c r="P149" s="59"/>
      <c r="Q149" s="59"/>
      <c r="R149" s="59"/>
      <c r="S149" s="59"/>
      <c r="T149" s="59"/>
      <c r="U149" s="98"/>
      <c r="V149" s="99"/>
      <c r="W149" s="98"/>
      <c r="X149" s="99"/>
      <c r="Y149" s="98"/>
      <c r="Z149" s="99"/>
      <c r="AA149" s="59"/>
      <c r="AB149" s="59"/>
      <c r="AC149" s="59"/>
      <c r="AD149" s="59"/>
      <c r="AE149" s="100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 t="s">
        <v>328</v>
      </c>
      <c r="DW149" s="197" t="s">
        <v>17</v>
      </c>
      <c r="DX149" s="59" t="s">
        <v>285</v>
      </c>
      <c r="DY149" s="198" t="s">
        <v>319</v>
      </c>
      <c r="DZ149" s="198" t="s">
        <v>320</v>
      </c>
      <c r="EA149" s="59">
        <f>2.17-1.85</f>
        <v>0.31999999999999984</v>
      </c>
      <c r="EB149" s="59">
        <v>2538</v>
      </c>
      <c r="EC149" s="59" t="s">
        <v>185</v>
      </c>
      <c r="ED149" s="198">
        <v>0.141</v>
      </c>
      <c r="EE149" s="198">
        <v>0.75</v>
      </c>
      <c r="EF149" s="198">
        <v>0.189</v>
      </c>
      <c r="EG149" s="198" t="s">
        <v>300</v>
      </c>
      <c r="EH149" s="102" t="s">
        <v>289</v>
      </c>
      <c r="EI149" s="198">
        <v>0.5</v>
      </c>
      <c r="EJ149" s="198">
        <v>0.5</v>
      </c>
      <c r="EK149" s="198">
        <v>0.025</v>
      </c>
      <c r="EL149" s="198">
        <v>0.274</v>
      </c>
      <c r="EM149" s="198" t="s">
        <v>185</v>
      </c>
      <c r="EN149" s="198" t="s">
        <v>185</v>
      </c>
      <c r="EO149" s="103">
        <v>0</v>
      </c>
      <c r="EP149" s="59">
        <v>0.15</v>
      </c>
      <c r="EQ149" s="104">
        <v>0</v>
      </c>
      <c r="ER149" s="104">
        <v>0</v>
      </c>
      <c r="ES149" s="104">
        <v>0</v>
      </c>
      <c r="ET149" s="198">
        <v>2</v>
      </c>
      <c r="EU149" s="104">
        <v>0</v>
      </c>
      <c r="EV149" s="198">
        <v>2</v>
      </c>
      <c r="EW149" s="198">
        <v>10</v>
      </c>
      <c r="EX149" s="198">
        <v>10</v>
      </c>
      <c r="EY149" s="104">
        <v>0</v>
      </c>
      <c r="EZ149" s="104">
        <v>0</v>
      </c>
      <c r="FA149" s="104">
        <v>0</v>
      </c>
      <c r="FB149" s="104">
        <v>0</v>
      </c>
      <c r="FC149" s="59"/>
      <c r="FD149" s="59"/>
      <c r="FE149" s="59"/>
      <c r="FF149" s="59"/>
      <c r="FG149" s="59"/>
      <c r="FH149" s="59"/>
      <c r="FI149" s="59"/>
      <c r="FJ149" s="59"/>
      <c r="FK149" s="59"/>
      <c r="FL149" s="59"/>
      <c r="FM149" s="59"/>
      <c r="FN149" s="59"/>
      <c r="FO149" s="59"/>
      <c r="FP149" s="59"/>
      <c r="FQ149" s="59"/>
      <c r="FR149" s="59"/>
      <c r="FS149" s="59"/>
      <c r="FT149" s="59"/>
      <c r="FU149" s="59"/>
      <c r="FV149" s="59"/>
      <c r="FW149" s="59"/>
      <c r="FX149" s="59"/>
      <c r="FY149" s="59"/>
      <c r="FZ149" s="59"/>
      <c r="GA149" s="59"/>
      <c r="GB149" s="59"/>
      <c r="GC149" s="59"/>
      <c r="GD149" s="59"/>
      <c r="GE149" s="59"/>
      <c r="GF149" s="59"/>
      <c r="GG149" s="59"/>
      <c r="GH149" s="59"/>
      <c r="GI149" s="59"/>
      <c r="GJ149" s="59"/>
      <c r="GK149" s="59"/>
      <c r="GL149" s="59"/>
      <c r="GM149" s="59"/>
      <c r="GN149" s="59"/>
      <c r="GO149" s="59"/>
      <c r="GP149" s="59"/>
      <c r="GQ149" s="59"/>
      <c r="GR149" s="59"/>
      <c r="GS149" s="59"/>
      <c r="GT149" s="59"/>
    </row>
    <row r="150" spans="1:202" ht="27" customHeight="1">
      <c r="A150" s="92"/>
      <c r="B150" s="93"/>
      <c r="C150" s="94"/>
      <c r="D150" s="94"/>
      <c r="E150" s="105"/>
      <c r="F150" s="95"/>
      <c r="G150" s="96"/>
      <c r="H150" s="96"/>
      <c r="I150" s="59"/>
      <c r="J150" s="59"/>
      <c r="K150" s="95"/>
      <c r="L150" s="95"/>
      <c r="M150" s="59"/>
      <c r="N150" s="59"/>
      <c r="O150" s="95"/>
      <c r="P150" s="59"/>
      <c r="Q150" s="59"/>
      <c r="R150" s="59"/>
      <c r="S150" s="59"/>
      <c r="T150" s="59"/>
      <c r="U150" s="98"/>
      <c r="V150" s="99"/>
      <c r="W150" s="98"/>
      <c r="X150" s="99"/>
      <c r="Y150" s="98"/>
      <c r="Z150" s="99"/>
      <c r="AA150" s="59"/>
      <c r="AB150" s="59"/>
      <c r="AC150" s="59"/>
      <c r="AD150" s="59"/>
      <c r="AE150" s="100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 t="s">
        <v>329</v>
      </c>
      <c r="DW150" s="197" t="s">
        <v>284</v>
      </c>
      <c r="DX150" s="59" t="s">
        <v>285</v>
      </c>
      <c r="DY150" s="198" t="s">
        <v>286</v>
      </c>
      <c r="DZ150" s="198" t="s">
        <v>321</v>
      </c>
      <c r="EA150" s="59">
        <f>2.3-0</f>
        <v>2.3</v>
      </c>
      <c r="EB150" s="59">
        <v>2538</v>
      </c>
      <c r="EC150" s="59" t="s">
        <v>185</v>
      </c>
      <c r="ED150" s="198">
        <v>0.701</v>
      </c>
      <c r="EE150" s="198">
        <v>1.68</v>
      </c>
      <c r="EF150" s="198">
        <v>0.417</v>
      </c>
      <c r="EG150" s="198" t="s">
        <v>324</v>
      </c>
      <c r="EH150" s="102" t="s">
        <v>289</v>
      </c>
      <c r="EI150" s="198">
        <v>0.9</v>
      </c>
      <c r="EJ150" s="198">
        <v>0.8</v>
      </c>
      <c r="EK150" s="198">
        <v>0.018</v>
      </c>
      <c r="EL150" s="198">
        <v>0.444</v>
      </c>
      <c r="EM150" s="198">
        <v>0.06</v>
      </c>
      <c r="EN150" s="198">
        <v>0.95</v>
      </c>
      <c r="EO150" s="103">
        <f t="shared" si="7"/>
        <v>0.1499999999999999</v>
      </c>
      <c r="EP150" s="59">
        <v>0.15</v>
      </c>
      <c r="EQ150" s="104">
        <v>0</v>
      </c>
      <c r="ER150" s="104">
        <v>0</v>
      </c>
      <c r="ES150" s="104">
        <v>0</v>
      </c>
      <c r="ET150" s="198">
        <v>5</v>
      </c>
      <c r="EU150" s="104">
        <v>0</v>
      </c>
      <c r="EV150" s="198">
        <v>5</v>
      </c>
      <c r="EW150" s="198">
        <v>15</v>
      </c>
      <c r="EX150" s="198">
        <v>15</v>
      </c>
      <c r="EY150" s="104">
        <v>0</v>
      </c>
      <c r="EZ150" s="104">
        <v>0</v>
      </c>
      <c r="FA150" s="104">
        <v>0</v>
      </c>
      <c r="FB150" s="104">
        <v>0</v>
      </c>
      <c r="FC150" s="59"/>
      <c r="FD150" s="59"/>
      <c r="FE150" s="59"/>
      <c r="FF150" s="59"/>
      <c r="FG150" s="59"/>
      <c r="FH150" s="59"/>
      <c r="FI150" s="59"/>
      <c r="FJ150" s="59"/>
      <c r="FK150" s="59"/>
      <c r="FL150" s="59"/>
      <c r="FM150" s="59"/>
      <c r="FN150" s="59"/>
      <c r="FO150" s="59"/>
      <c r="FP150" s="59"/>
      <c r="FQ150" s="59"/>
      <c r="FR150" s="59"/>
      <c r="FS150" s="59"/>
      <c r="FT150" s="59"/>
      <c r="FU150" s="59"/>
      <c r="FV150" s="59"/>
      <c r="FW150" s="59"/>
      <c r="FX150" s="59"/>
      <c r="FY150" s="59"/>
      <c r="FZ150" s="59"/>
      <c r="GA150" s="59"/>
      <c r="GB150" s="59"/>
      <c r="GC150" s="59"/>
      <c r="GD150" s="59"/>
      <c r="GE150" s="59"/>
      <c r="GF150" s="59"/>
      <c r="GG150" s="59"/>
      <c r="GH150" s="59"/>
      <c r="GI150" s="59"/>
      <c r="GJ150" s="59"/>
      <c r="GK150" s="59"/>
      <c r="GL150" s="59"/>
      <c r="GM150" s="59"/>
      <c r="GN150" s="59"/>
      <c r="GO150" s="59"/>
      <c r="GP150" s="59"/>
      <c r="GQ150" s="59"/>
      <c r="GR150" s="59"/>
      <c r="GS150" s="59"/>
      <c r="GT150" s="59"/>
    </row>
    <row r="151" spans="1:202" ht="27" customHeight="1">
      <c r="A151" s="92"/>
      <c r="B151" s="93"/>
      <c r="C151" s="94"/>
      <c r="D151" s="94"/>
      <c r="E151" s="105"/>
      <c r="F151" s="95"/>
      <c r="G151" s="96"/>
      <c r="H151" s="96"/>
      <c r="I151" s="59"/>
      <c r="J151" s="59"/>
      <c r="K151" s="95"/>
      <c r="L151" s="95"/>
      <c r="M151" s="59"/>
      <c r="N151" s="59"/>
      <c r="O151" s="95"/>
      <c r="P151" s="59"/>
      <c r="Q151" s="59"/>
      <c r="R151" s="59"/>
      <c r="S151" s="59"/>
      <c r="T151" s="59"/>
      <c r="U151" s="98"/>
      <c r="V151" s="99"/>
      <c r="W151" s="98"/>
      <c r="X151" s="99"/>
      <c r="Y151" s="98"/>
      <c r="Z151" s="99"/>
      <c r="AA151" s="59"/>
      <c r="AB151" s="59"/>
      <c r="AC151" s="59"/>
      <c r="AD151" s="59"/>
      <c r="AE151" s="100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 t="s">
        <v>329</v>
      </c>
      <c r="DW151" s="197" t="s">
        <v>284</v>
      </c>
      <c r="DX151" s="59" t="s">
        <v>285</v>
      </c>
      <c r="DY151" s="198" t="s">
        <v>321</v>
      </c>
      <c r="DZ151" s="198" t="s">
        <v>322</v>
      </c>
      <c r="EA151" s="59">
        <f>3.63-2.3</f>
        <v>1.33</v>
      </c>
      <c r="EB151" s="59">
        <v>2538</v>
      </c>
      <c r="EC151" s="59" t="s">
        <v>185</v>
      </c>
      <c r="ED151" s="198">
        <v>0.495</v>
      </c>
      <c r="EE151" s="198">
        <v>1.295</v>
      </c>
      <c r="EF151" s="198">
        <v>0.382</v>
      </c>
      <c r="EG151" s="198" t="s">
        <v>324</v>
      </c>
      <c r="EH151" s="102" t="s">
        <v>289</v>
      </c>
      <c r="EI151" s="198">
        <v>0.8</v>
      </c>
      <c r="EJ151" s="198">
        <v>0.7</v>
      </c>
      <c r="EK151" s="198">
        <v>0.018</v>
      </c>
      <c r="EL151" s="198">
        <v>0.39</v>
      </c>
      <c r="EM151" s="198">
        <v>0.06</v>
      </c>
      <c r="EN151" s="198">
        <v>0.85</v>
      </c>
      <c r="EO151" s="103">
        <f t="shared" si="7"/>
        <v>0.15000000000000002</v>
      </c>
      <c r="EP151" s="59">
        <v>0.15</v>
      </c>
      <c r="EQ151" s="104">
        <v>0</v>
      </c>
      <c r="ER151" s="104">
        <v>0</v>
      </c>
      <c r="ES151" s="104">
        <v>0</v>
      </c>
      <c r="ET151" s="198">
        <v>5</v>
      </c>
      <c r="EU151" s="104">
        <v>0</v>
      </c>
      <c r="EV151" s="198">
        <v>5</v>
      </c>
      <c r="EW151" s="198">
        <v>15</v>
      </c>
      <c r="EX151" s="198">
        <v>15</v>
      </c>
      <c r="EY151" s="104">
        <v>0</v>
      </c>
      <c r="EZ151" s="104">
        <v>0</v>
      </c>
      <c r="FA151" s="104">
        <v>0</v>
      </c>
      <c r="FB151" s="104">
        <v>0</v>
      </c>
      <c r="FC151" s="59"/>
      <c r="FD151" s="59"/>
      <c r="FE151" s="59"/>
      <c r="FF151" s="59"/>
      <c r="FG151" s="59"/>
      <c r="FH151" s="59"/>
      <c r="FI151" s="59"/>
      <c r="FJ151" s="59"/>
      <c r="FK151" s="59"/>
      <c r="FL151" s="59"/>
      <c r="FM151" s="59"/>
      <c r="FN151" s="59"/>
      <c r="FO151" s="59"/>
      <c r="FP151" s="59"/>
      <c r="FQ151" s="59"/>
      <c r="FR151" s="59"/>
      <c r="FS151" s="59"/>
      <c r="FT151" s="59"/>
      <c r="FU151" s="59"/>
      <c r="FV151" s="59"/>
      <c r="FW151" s="59"/>
      <c r="FX151" s="59"/>
      <c r="FY151" s="59"/>
      <c r="FZ151" s="59"/>
      <c r="GA151" s="59"/>
      <c r="GB151" s="59"/>
      <c r="GC151" s="59"/>
      <c r="GD151" s="59"/>
      <c r="GE151" s="59"/>
      <c r="GF151" s="59"/>
      <c r="GG151" s="59"/>
      <c r="GH151" s="59"/>
      <c r="GI151" s="59"/>
      <c r="GJ151" s="59"/>
      <c r="GK151" s="59"/>
      <c r="GL151" s="59"/>
      <c r="GM151" s="59"/>
      <c r="GN151" s="59"/>
      <c r="GO151" s="59"/>
      <c r="GP151" s="59"/>
      <c r="GQ151" s="59"/>
      <c r="GR151" s="59"/>
      <c r="GS151" s="59"/>
      <c r="GT151" s="59"/>
    </row>
    <row r="152" spans="1:202" ht="27" customHeight="1">
      <c r="A152" s="92"/>
      <c r="B152" s="93"/>
      <c r="C152" s="94"/>
      <c r="D152" s="94"/>
      <c r="E152" s="105"/>
      <c r="F152" s="95"/>
      <c r="G152" s="96"/>
      <c r="H152" s="96"/>
      <c r="I152" s="59"/>
      <c r="J152" s="59"/>
      <c r="K152" s="95"/>
      <c r="L152" s="95"/>
      <c r="M152" s="59"/>
      <c r="N152" s="59"/>
      <c r="O152" s="95"/>
      <c r="P152" s="59"/>
      <c r="Q152" s="59"/>
      <c r="R152" s="59"/>
      <c r="S152" s="59"/>
      <c r="T152" s="59"/>
      <c r="U152" s="98"/>
      <c r="V152" s="99"/>
      <c r="W152" s="98"/>
      <c r="X152" s="99"/>
      <c r="Y152" s="98"/>
      <c r="Z152" s="99"/>
      <c r="AA152" s="59"/>
      <c r="AB152" s="59"/>
      <c r="AC152" s="59"/>
      <c r="AD152" s="59"/>
      <c r="AE152" s="100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 t="s">
        <v>329</v>
      </c>
      <c r="DW152" s="197" t="s">
        <v>284</v>
      </c>
      <c r="DX152" s="59" t="s">
        <v>285</v>
      </c>
      <c r="DY152" s="198" t="s">
        <v>322</v>
      </c>
      <c r="DZ152" s="198" t="s">
        <v>323</v>
      </c>
      <c r="EA152" s="59">
        <f>4.74-3.63</f>
        <v>1.1100000000000003</v>
      </c>
      <c r="EB152" s="59">
        <v>2538</v>
      </c>
      <c r="EC152" s="59" t="s">
        <v>185</v>
      </c>
      <c r="ED152" s="198">
        <v>0.188</v>
      </c>
      <c r="EE152" s="198">
        <v>0.625</v>
      </c>
      <c r="EF152" s="198">
        <v>0.3</v>
      </c>
      <c r="EG152" s="198" t="s">
        <v>324</v>
      </c>
      <c r="EH152" s="102" t="s">
        <v>289</v>
      </c>
      <c r="EI152" s="198">
        <v>0.5</v>
      </c>
      <c r="EJ152" s="198">
        <v>0.5</v>
      </c>
      <c r="EK152" s="198">
        <v>0.018</v>
      </c>
      <c r="EL152" s="198">
        <v>0.271</v>
      </c>
      <c r="EM152" s="198">
        <v>0.06</v>
      </c>
      <c r="EN152" s="198">
        <v>0.65</v>
      </c>
      <c r="EO152" s="103">
        <f t="shared" si="7"/>
        <v>0.15000000000000002</v>
      </c>
      <c r="EP152" s="59">
        <v>0.15</v>
      </c>
      <c r="EQ152" s="104">
        <v>0</v>
      </c>
      <c r="ER152" s="104">
        <v>0</v>
      </c>
      <c r="ES152" s="104">
        <v>0</v>
      </c>
      <c r="ET152" s="198">
        <v>5</v>
      </c>
      <c r="EU152" s="104">
        <v>0</v>
      </c>
      <c r="EV152" s="198">
        <v>5</v>
      </c>
      <c r="EW152" s="198">
        <v>15</v>
      </c>
      <c r="EX152" s="198">
        <v>15</v>
      </c>
      <c r="EY152" s="104">
        <v>0</v>
      </c>
      <c r="EZ152" s="104">
        <v>0</v>
      </c>
      <c r="FA152" s="104">
        <v>0</v>
      </c>
      <c r="FB152" s="104">
        <v>0</v>
      </c>
      <c r="FC152" s="59"/>
      <c r="FD152" s="59"/>
      <c r="FE152" s="59"/>
      <c r="FF152" s="59"/>
      <c r="FG152" s="59"/>
      <c r="FH152" s="59"/>
      <c r="FI152" s="59"/>
      <c r="FJ152" s="59"/>
      <c r="FK152" s="59"/>
      <c r="FL152" s="59"/>
      <c r="FM152" s="59"/>
      <c r="FN152" s="59"/>
      <c r="FO152" s="59"/>
      <c r="FP152" s="59"/>
      <c r="FQ152" s="59"/>
      <c r="FR152" s="59"/>
      <c r="FS152" s="59"/>
      <c r="FT152" s="59"/>
      <c r="FU152" s="59"/>
      <c r="FV152" s="59"/>
      <c r="FW152" s="59"/>
      <c r="FX152" s="59"/>
      <c r="FY152" s="59"/>
      <c r="FZ152" s="59"/>
      <c r="GA152" s="59"/>
      <c r="GB152" s="59"/>
      <c r="GC152" s="59"/>
      <c r="GD152" s="59"/>
      <c r="GE152" s="59"/>
      <c r="GF152" s="59"/>
      <c r="GG152" s="59"/>
      <c r="GH152" s="59"/>
      <c r="GI152" s="59"/>
      <c r="GJ152" s="59"/>
      <c r="GK152" s="59"/>
      <c r="GL152" s="59"/>
      <c r="GM152" s="59"/>
      <c r="GN152" s="59"/>
      <c r="GO152" s="59"/>
      <c r="GP152" s="59"/>
      <c r="GQ152" s="59"/>
      <c r="GR152" s="59"/>
      <c r="GS152" s="59"/>
      <c r="GT152" s="59"/>
    </row>
    <row r="153" spans="1:202" ht="27" customHeight="1">
      <c r="A153" s="92"/>
      <c r="B153" s="93"/>
      <c r="C153" s="94"/>
      <c r="D153" s="94"/>
      <c r="E153" s="105"/>
      <c r="F153" s="95"/>
      <c r="G153" s="96"/>
      <c r="H153" s="96"/>
      <c r="I153" s="59"/>
      <c r="J153" s="59"/>
      <c r="K153" s="95"/>
      <c r="L153" s="95"/>
      <c r="M153" s="59"/>
      <c r="N153" s="59"/>
      <c r="O153" s="95"/>
      <c r="P153" s="59"/>
      <c r="Q153" s="59"/>
      <c r="R153" s="59"/>
      <c r="S153" s="59"/>
      <c r="T153" s="59"/>
      <c r="U153" s="98"/>
      <c r="V153" s="99"/>
      <c r="W153" s="98"/>
      <c r="X153" s="99"/>
      <c r="Y153" s="98"/>
      <c r="Z153" s="99"/>
      <c r="AA153" s="59"/>
      <c r="AB153" s="59"/>
      <c r="AC153" s="59"/>
      <c r="AD153" s="59"/>
      <c r="AE153" s="100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 t="s">
        <v>329</v>
      </c>
      <c r="DW153" s="197" t="s">
        <v>17</v>
      </c>
      <c r="DX153" s="59" t="s">
        <v>285</v>
      </c>
      <c r="DY153" s="198" t="s">
        <v>323</v>
      </c>
      <c r="DZ153" s="198" t="s">
        <v>309</v>
      </c>
      <c r="EA153" s="59">
        <f>5-4.74</f>
        <v>0.2599999999999998</v>
      </c>
      <c r="EB153" s="59">
        <v>2538</v>
      </c>
      <c r="EC153" s="59" t="s">
        <v>185</v>
      </c>
      <c r="ED153" s="198">
        <v>0.141</v>
      </c>
      <c r="EE153" s="198">
        <v>0.75</v>
      </c>
      <c r="EF153" s="198">
        <v>0.189</v>
      </c>
      <c r="EG153" s="198" t="s">
        <v>300</v>
      </c>
      <c r="EH153" s="102" t="s">
        <v>289</v>
      </c>
      <c r="EI153" s="198">
        <v>0.5</v>
      </c>
      <c r="EJ153" s="198">
        <v>0.5</v>
      </c>
      <c r="EK153" s="198">
        <v>0.025</v>
      </c>
      <c r="EL153" s="198">
        <v>0.274</v>
      </c>
      <c r="EM153" s="198" t="s">
        <v>185</v>
      </c>
      <c r="EN153" s="198" t="s">
        <v>185</v>
      </c>
      <c r="EO153" s="103">
        <v>0</v>
      </c>
      <c r="EP153" s="59">
        <v>0.15</v>
      </c>
      <c r="EQ153" s="104">
        <v>0</v>
      </c>
      <c r="ER153" s="104">
        <v>0</v>
      </c>
      <c r="ES153" s="104">
        <v>0</v>
      </c>
      <c r="ET153" s="198">
        <v>2</v>
      </c>
      <c r="EU153" s="104">
        <v>0</v>
      </c>
      <c r="EV153" s="198">
        <v>2</v>
      </c>
      <c r="EW153" s="198">
        <v>10</v>
      </c>
      <c r="EX153" s="198">
        <v>10</v>
      </c>
      <c r="EY153" s="104">
        <v>0</v>
      </c>
      <c r="EZ153" s="104">
        <v>0</v>
      </c>
      <c r="FA153" s="104">
        <v>0</v>
      </c>
      <c r="FB153" s="104">
        <v>0</v>
      </c>
      <c r="FC153" s="59"/>
      <c r="FD153" s="59"/>
      <c r="FE153" s="59"/>
      <c r="FF153" s="59"/>
      <c r="FG153" s="59"/>
      <c r="FH153" s="59"/>
      <c r="FI153" s="59"/>
      <c r="FJ153" s="59"/>
      <c r="FK153" s="59"/>
      <c r="FL153" s="59"/>
      <c r="FM153" s="59"/>
      <c r="FN153" s="59"/>
      <c r="FO153" s="59"/>
      <c r="FP153" s="59"/>
      <c r="FQ153" s="59"/>
      <c r="FR153" s="59"/>
      <c r="FS153" s="59"/>
      <c r="FT153" s="59"/>
      <c r="FU153" s="59"/>
      <c r="FV153" s="59"/>
      <c r="FW153" s="59"/>
      <c r="FX153" s="59"/>
      <c r="FY153" s="59"/>
      <c r="FZ153" s="59"/>
      <c r="GA153" s="59"/>
      <c r="GB153" s="59"/>
      <c r="GC153" s="59"/>
      <c r="GD153" s="59"/>
      <c r="GE153" s="59"/>
      <c r="GF153" s="59"/>
      <c r="GG153" s="59"/>
      <c r="GH153" s="59"/>
      <c r="GI153" s="59"/>
      <c r="GJ153" s="59"/>
      <c r="GK153" s="59"/>
      <c r="GL153" s="59"/>
      <c r="GM153" s="59"/>
      <c r="GN153" s="59"/>
      <c r="GO153" s="59"/>
      <c r="GP153" s="59"/>
      <c r="GQ153" s="59"/>
      <c r="GR153" s="59"/>
      <c r="GS153" s="59"/>
      <c r="GT153" s="59"/>
    </row>
    <row r="154" spans="1:202" ht="27" customHeight="1">
      <c r="A154" s="92"/>
      <c r="B154" s="93"/>
      <c r="C154" s="94"/>
      <c r="D154" s="94"/>
      <c r="E154" s="105"/>
      <c r="F154" s="95"/>
      <c r="G154" s="96"/>
      <c r="H154" s="96"/>
      <c r="I154" s="59"/>
      <c r="J154" s="59"/>
      <c r="K154" s="95"/>
      <c r="L154" s="95"/>
      <c r="M154" s="59"/>
      <c r="N154" s="59"/>
      <c r="O154" s="95"/>
      <c r="P154" s="59"/>
      <c r="Q154" s="59"/>
      <c r="R154" s="59"/>
      <c r="S154" s="59"/>
      <c r="T154" s="59"/>
      <c r="U154" s="98"/>
      <c r="V154" s="99"/>
      <c r="W154" s="98"/>
      <c r="X154" s="99"/>
      <c r="Y154" s="98"/>
      <c r="Z154" s="99"/>
      <c r="AA154" s="59"/>
      <c r="AB154" s="59"/>
      <c r="AC154" s="59"/>
      <c r="AD154" s="59"/>
      <c r="AE154" s="100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 t="s">
        <v>185</v>
      </c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  <c r="EQ154" s="59"/>
      <c r="ER154" s="59"/>
      <c r="ES154" s="104"/>
      <c r="ET154" s="59"/>
      <c r="EU154" s="104"/>
      <c r="EV154" s="59"/>
      <c r="EW154" s="59"/>
      <c r="EX154" s="59"/>
      <c r="EY154" s="104"/>
      <c r="EZ154" s="104"/>
      <c r="FA154" s="104"/>
      <c r="FB154" s="104"/>
      <c r="FC154" s="59"/>
      <c r="FD154" s="59"/>
      <c r="FE154" s="59"/>
      <c r="FF154" s="59"/>
      <c r="FG154" s="59"/>
      <c r="FH154" s="59"/>
      <c r="FI154" s="59"/>
      <c r="FJ154" s="59"/>
      <c r="FK154" s="59"/>
      <c r="FL154" s="59"/>
      <c r="FM154" s="59"/>
      <c r="FN154" s="59"/>
      <c r="FO154" s="59"/>
      <c r="FP154" s="59"/>
      <c r="FQ154" s="59"/>
      <c r="FR154" s="59"/>
      <c r="FS154" s="59"/>
      <c r="FT154" s="59"/>
      <c r="FU154" s="59"/>
      <c r="FV154" s="59"/>
      <c r="FW154" s="59"/>
      <c r="FX154" s="59"/>
      <c r="FY154" s="59"/>
      <c r="FZ154" s="59"/>
      <c r="GA154" s="59"/>
      <c r="GB154" s="59"/>
      <c r="GC154" s="59"/>
      <c r="GD154" s="59"/>
      <c r="GE154" s="59"/>
      <c r="GF154" s="59"/>
      <c r="GG154" s="59"/>
      <c r="GH154" s="59"/>
      <c r="GI154" s="59"/>
      <c r="GJ154" s="59"/>
      <c r="GK154" s="59"/>
      <c r="GL154" s="59"/>
      <c r="GM154" s="59"/>
      <c r="GN154" s="59"/>
      <c r="GO154" s="59"/>
      <c r="GP154" s="59"/>
      <c r="GQ154" s="59"/>
      <c r="GR154" s="59"/>
      <c r="GS154" s="59"/>
      <c r="GT154" s="59"/>
    </row>
    <row r="155" spans="1:202" ht="27" customHeight="1">
      <c r="A155" s="92"/>
      <c r="B155" s="93" t="s">
        <v>193</v>
      </c>
      <c r="C155" s="94" t="s">
        <v>194</v>
      </c>
      <c r="D155" s="94" t="s">
        <v>195</v>
      </c>
      <c r="E155" s="105" t="s">
        <v>192</v>
      </c>
      <c r="F155" s="95" t="s">
        <v>178</v>
      </c>
      <c r="G155" s="96">
        <v>270890</v>
      </c>
      <c r="H155" s="96">
        <v>1583430</v>
      </c>
      <c r="I155" s="59" t="s">
        <v>179</v>
      </c>
      <c r="J155" s="59" t="s">
        <v>187</v>
      </c>
      <c r="K155" s="95">
        <v>26000</v>
      </c>
      <c r="L155" s="95">
        <v>20260</v>
      </c>
      <c r="M155" s="59">
        <v>2537</v>
      </c>
      <c r="N155" s="59" t="s">
        <v>181</v>
      </c>
      <c r="O155" s="95">
        <v>1785</v>
      </c>
      <c r="P155" s="59">
        <v>19.5</v>
      </c>
      <c r="Q155" s="59">
        <v>6</v>
      </c>
      <c r="R155" s="59" t="s">
        <v>182</v>
      </c>
      <c r="S155" s="59" t="s">
        <v>183</v>
      </c>
      <c r="T155" s="59" t="s">
        <v>184</v>
      </c>
      <c r="U155" s="98">
        <v>227</v>
      </c>
      <c r="V155" s="99">
        <v>1.8</v>
      </c>
      <c r="W155" s="98">
        <v>237.5</v>
      </c>
      <c r="X155" s="99">
        <v>46.1</v>
      </c>
      <c r="Y155" s="98">
        <v>227</v>
      </c>
      <c r="Z155" s="99">
        <v>36</v>
      </c>
      <c r="AA155" s="59">
        <v>2538</v>
      </c>
      <c r="AB155" s="59">
        <v>2543</v>
      </c>
      <c r="AC155" s="59" t="s">
        <v>270</v>
      </c>
      <c r="AD155" s="59">
        <v>3.6</v>
      </c>
      <c r="AE155" s="100" t="s">
        <v>271</v>
      </c>
      <c r="AF155" s="59">
        <v>3.15</v>
      </c>
      <c r="AG155" s="59"/>
      <c r="AH155" s="59"/>
      <c r="AI155" s="59" t="s">
        <v>185</v>
      </c>
      <c r="AJ155" s="59" t="s">
        <v>185</v>
      </c>
      <c r="AK155" s="59" t="s">
        <v>185</v>
      </c>
      <c r="AL155" s="59" t="s">
        <v>185</v>
      </c>
      <c r="AM155" s="59" t="s">
        <v>185</v>
      </c>
      <c r="AN155" s="59" t="s">
        <v>185</v>
      </c>
      <c r="AO155" s="59" t="s">
        <v>185</v>
      </c>
      <c r="AP155" s="59" t="s">
        <v>185</v>
      </c>
      <c r="AQ155" s="59" t="s">
        <v>185</v>
      </c>
      <c r="AR155" s="59" t="s">
        <v>185</v>
      </c>
      <c r="AS155" s="59" t="s">
        <v>185</v>
      </c>
      <c r="AT155" s="59" t="s">
        <v>185</v>
      </c>
      <c r="AU155" s="59" t="s">
        <v>185</v>
      </c>
      <c r="AV155" s="59" t="s">
        <v>185</v>
      </c>
      <c r="AW155" s="59" t="s">
        <v>185</v>
      </c>
      <c r="AX155" s="59" t="s">
        <v>185</v>
      </c>
      <c r="AY155" s="59" t="s">
        <v>185</v>
      </c>
      <c r="AZ155" s="59" t="s">
        <v>185</v>
      </c>
      <c r="BA155" s="59" t="s">
        <v>185</v>
      </c>
      <c r="BB155" s="59" t="s">
        <v>185</v>
      </c>
      <c r="BC155" s="59" t="s">
        <v>185</v>
      </c>
      <c r="BD155" s="59" t="s">
        <v>185</v>
      </c>
      <c r="BE155" s="59" t="s">
        <v>185</v>
      </c>
      <c r="BF155" s="59" t="s">
        <v>185</v>
      </c>
      <c r="BG155" s="59" t="s">
        <v>185</v>
      </c>
      <c r="BH155" s="59" t="s">
        <v>185</v>
      </c>
      <c r="BI155" s="59" t="s">
        <v>185</v>
      </c>
      <c r="BJ155" s="59" t="s">
        <v>185</v>
      </c>
      <c r="BK155" s="59" t="s">
        <v>185</v>
      </c>
      <c r="BL155" s="59" t="s">
        <v>185</v>
      </c>
      <c r="BM155" s="59" t="s">
        <v>185</v>
      </c>
      <c r="BN155" s="59" t="s">
        <v>185</v>
      </c>
      <c r="BO155" s="59" t="s">
        <v>185</v>
      </c>
      <c r="BP155" s="59" t="s">
        <v>185</v>
      </c>
      <c r="BQ155" s="59" t="s">
        <v>185</v>
      </c>
      <c r="BR155" s="59" t="s">
        <v>185</v>
      </c>
      <c r="BS155" s="59" t="s">
        <v>185</v>
      </c>
      <c r="BT155" s="59" t="s">
        <v>185</v>
      </c>
      <c r="BU155" s="59" t="s">
        <v>185</v>
      </c>
      <c r="BV155" s="59" t="s">
        <v>185</v>
      </c>
      <c r="BW155" s="59" t="s">
        <v>185</v>
      </c>
      <c r="BX155" s="59" t="s">
        <v>185</v>
      </c>
      <c r="BY155" s="59" t="s">
        <v>185</v>
      </c>
      <c r="BZ155" s="59" t="s">
        <v>185</v>
      </c>
      <c r="CA155" s="59" t="s">
        <v>185</v>
      </c>
      <c r="CB155" s="59" t="s">
        <v>185</v>
      </c>
      <c r="CC155" s="59" t="s">
        <v>185</v>
      </c>
      <c r="CD155" s="59">
        <v>1</v>
      </c>
      <c r="CE155" s="59" t="s">
        <v>277</v>
      </c>
      <c r="CF155" s="59">
        <v>1</v>
      </c>
      <c r="CG155" s="59"/>
      <c r="CH155" s="59"/>
      <c r="CI155" s="59">
        <v>1</v>
      </c>
      <c r="CJ155" s="59" t="s">
        <v>273</v>
      </c>
      <c r="CK155" s="59">
        <v>95</v>
      </c>
      <c r="CL155" s="59">
        <v>0.75</v>
      </c>
      <c r="CM155" s="59">
        <v>1</v>
      </c>
      <c r="CN155" s="59" t="s">
        <v>277</v>
      </c>
      <c r="CO155" s="59">
        <v>1</v>
      </c>
      <c r="CP155" s="59" t="s">
        <v>185</v>
      </c>
      <c r="CQ155" s="59" t="s">
        <v>185</v>
      </c>
      <c r="CR155" s="59">
        <v>2</v>
      </c>
      <c r="CS155" s="59" t="s">
        <v>280</v>
      </c>
      <c r="CT155" s="59">
        <v>13.5</v>
      </c>
      <c r="CU155" s="59">
        <v>4</v>
      </c>
      <c r="CV155" s="59" t="s">
        <v>272</v>
      </c>
      <c r="CW155" s="59">
        <v>130</v>
      </c>
      <c r="CX155" s="59" t="s">
        <v>185</v>
      </c>
      <c r="CY155" s="59" t="s">
        <v>185</v>
      </c>
      <c r="CZ155" s="59" t="s">
        <v>185</v>
      </c>
      <c r="DA155" s="59" t="s">
        <v>185</v>
      </c>
      <c r="DB155" s="59" t="s">
        <v>185</v>
      </c>
      <c r="DC155" s="59" t="s">
        <v>185</v>
      </c>
      <c r="DD155" s="59">
        <v>520</v>
      </c>
      <c r="DE155" s="59" t="s">
        <v>185</v>
      </c>
      <c r="DF155" s="59" t="s">
        <v>185</v>
      </c>
      <c r="DG155" s="59" t="s">
        <v>185</v>
      </c>
      <c r="DH155" s="59" t="s">
        <v>185</v>
      </c>
      <c r="DI155" s="59" t="s">
        <v>185</v>
      </c>
      <c r="DJ155" s="59" t="s">
        <v>185</v>
      </c>
      <c r="DK155" s="59" t="s">
        <v>185</v>
      </c>
      <c r="DL155" s="59" t="s">
        <v>185</v>
      </c>
      <c r="DM155" s="59" t="s">
        <v>185</v>
      </c>
      <c r="DN155" s="59" t="s">
        <v>185</v>
      </c>
      <c r="DO155" s="59" t="s">
        <v>185</v>
      </c>
      <c r="DP155" s="59" t="s">
        <v>185</v>
      </c>
      <c r="DQ155" s="59" t="s">
        <v>185</v>
      </c>
      <c r="DR155" s="59" t="s">
        <v>185</v>
      </c>
      <c r="DS155" s="59" t="s">
        <v>185</v>
      </c>
      <c r="DT155" s="59" t="s">
        <v>185</v>
      </c>
      <c r="DU155" s="59" t="s">
        <v>185</v>
      </c>
      <c r="DV155" s="59" t="s">
        <v>282</v>
      </c>
      <c r="DW155" s="59" t="s">
        <v>284</v>
      </c>
      <c r="DX155" s="59" t="s">
        <v>285</v>
      </c>
      <c r="DY155" s="184" t="s">
        <v>330</v>
      </c>
      <c r="DZ155" s="184" t="s">
        <v>331</v>
      </c>
      <c r="EA155" s="59">
        <f>2.15-0.212</f>
        <v>1.938</v>
      </c>
      <c r="EB155" s="59">
        <v>2538</v>
      </c>
      <c r="EC155" s="59" t="s">
        <v>185</v>
      </c>
      <c r="ED155" s="185">
        <v>1.741</v>
      </c>
      <c r="EE155" s="185">
        <v>3.709</v>
      </c>
      <c r="EF155" s="185">
        <v>0.469</v>
      </c>
      <c r="EG155" s="186" t="s">
        <v>300</v>
      </c>
      <c r="EH155" s="101" t="s">
        <v>289</v>
      </c>
      <c r="EI155" s="187">
        <v>1.5</v>
      </c>
      <c r="EJ155" s="187">
        <v>1.15</v>
      </c>
      <c r="EK155" s="185">
        <v>0.018</v>
      </c>
      <c r="EL155" s="185">
        <v>0.657</v>
      </c>
      <c r="EM155" s="184">
        <v>0.06</v>
      </c>
      <c r="EN155" s="187">
        <v>1.35</v>
      </c>
      <c r="EO155" s="103">
        <f>+EN155-EJ155</f>
        <v>0.20000000000000018</v>
      </c>
      <c r="EP155" s="59">
        <v>0.15</v>
      </c>
      <c r="EQ155" s="187">
        <v>1</v>
      </c>
      <c r="ER155" s="187">
        <v>1</v>
      </c>
      <c r="ES155" s="104">
        <v>0</v>
      </c>
      <c r="ET155" s="187">
        <v>6</v>
      </c>
      <c r="EU155" s="104">
        <v>0</v>
      </c>
      <c r="EV155" s="187">
        <v>6</v>
      </c>
      <c r="EW155" s="187">
        <v>25</v>
      </c>
      <c r="EX155" s="187">
        <v>25</v>
      </c>
      <c r="EY155" s="104">
        <v>0</v>
      </c>
      <c r="EZ155" s="104">
        <v>0</v>
      </c>
      <c r="FA155" s="104">
        <v>0</v>
      </c>
      <c r="FB155" s="104">
        <v>0</v>
      </c>
      <c r="FC155" s="59"/>
      <c r="FD155" s="59"/>
      <c r="FE155" s="59"/>
      <c r="FF155" s="59"/>
      <c r="FG155" s="59"/>
      <c r="FH155" s="59"/>
      <c r="FI155" s="59"/>
      <c r="FJ155" s="59"/>
      <c r="FK155" s="59"/>
      <c r="FL155" s="59"/>
      <c r="FM155" s="59"/>
      <c r="FN155" s="59"/>
      <c r="FO155" s="59"/>
      <c r="FP155" s="59"/>
      <c r="FQ155" s="59"/>
      <c r="FR155" s="59"/>
      <c r="FS155" s="59"/>
      <c r="FT155" s="59"/>
      <c r="FU155" s="59"/>
      <c r="FV155" s="59"/>
      <c r="FW155" s="59"/>
      <c r="FX155" s="59"/>
      <c r="FY155" s="59"/>
      <c r="FZ155" s="59"/>
      <c r="GA155" s="59"/>
      <c r="GB155" s="59"/>
      <c r="GC155" s="59"/>
      <c r="GD155" s="59"/>
      <c r="GE155" s="59"/>
      <c r="GF155" s="59"/>
      <c r="GG155" s="59"/>
      <c r="GH155" s="59"/>
      <c r="GI155" s="59"/>
      <c r="GJ155" s="59"/>
      <c r="GK155" s="59"/>
      <c r="GL155" s="59"/>
      <c r="GM155" s="59"/>
      <c r="GN155" s="59"/>
      <c r="GO155" s="59"/>
      <c r="GP155" s="59"/>
      <c r="GQ155" s="59"/>
      <c r="GR155" s="59"/>
      <c r="GS155" s="59"/>
      <c r="GT155" s="59"/>
    </row>
    <row r="156" spans="1:202" ht="27" customHeight="1">
      <c r="A156" s="92"/>
      <c r="B156" s="93"/>
      <c r="C156" s="94"/>
      <c r="D156" s="94"/>
      <c r="E156" s="105"/>
      <c r="F156" s="95"/>
      <c r="G156" s="96"/>
      <c r="H156" s="96"/>
      <c r="I156" s="59"/>
      <c r="J156" s="59"/>
      <c r="K156" s="95"/>
      <c r="L156" s="95"/>
      <c r="M156" s="59"/>
      <c r="N156" s="59"/>
      <c r="O156" s="95"/>
      <c r="P156" s="59"/>
      <c r="Q156" s="59"/>
      <c r="R156" s="59"/>
      <c r="S156" s="59"/>
      <c r="T156" s="59"/>
      <c r="U156" s="98"/>
      <c r="V156" s="99"/>
      <c r="W156" s="98"/>
      <c r="X156" s="99"/>
      <c r="Y156" s="98"/>
      <c r="Z156" s="99"/>
      <c r="AA156" s="59"/>
      <c r="AB156" s="59"/>
      <c r="AC156" s="59"/>
      <c r="AD156" s="59"/>
      <c r="AE156" s="100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 t="s">
        <v>282</v>
      </c>
      <c r="DW156" s="59" t="s">
        <v>284</v>
      </c>
      <c r="DX156" s="59" t="s">
        <v>285</v>
      </c>
      <c r="DY156" s="184" t="s">
        <v>331</v>
      </c>
      <c r="DZ156" s="184" t="s">
        <v>332</v>
      </c>
      <c r="EA156" s="59">
        <f>3.3-2.15</f>
        <v>1.15</v>
      </c>
      <c r="EB156" s="59">
        <v>2538</v>
      </c>
      <c r="EC156" s="59" t="s">
        <v>185</v>
      </c>
      <c r="ED156" s="185">
        <v>1.324</v>
      </c>
      <c r="EE156" s="185">
        <v>3.019</v>
      </c>
      <c r="EF156" s="185">
        <v>0.439</v>
      </c>
      <c r="EG156" s="186" t="s">
        <v>300</v>
      </c>
      <c r="EH156" s="102" t="s">
        <v>289</v>
      </c>
      <c r="EI156" s="187">
        <v>1.3</v>
      </c>
      <c r="EJ156" s="187">
        <v>1.05</v>
      </c>
      <c r="EK156" s="185">
        <v>0.018</v>
      </c>
      <c r="EL156" s="185">
        <v>0.594</v>
      </c>
      <c r="EM156" s="184">
        <v>0.06</v>
      </c>
      <c r="EN156" s="187">
        <v>1.25</v>
      </c>
      <c r="EO156" s="103">
        <f aca="true" t="shared" si="8" ref="EO156:EO200">+EN156-EJ156</f>
        <v>0.19999999999999996</v>
      </c>
      <c r="EP156" s="59">
        <v>0.15</v>
      </c>
      <c r="EQ156" s="187">
        <v>1</v>
      </c>
      <c r="ER156" s="187">
        <v>1</v>
      </c>
      <c r="ES156" s="104">
        <v>0</v>
      </c>
      <c r="ET156" s="187">
        <v>6</v>
      </c>
      <c r="EU156" s="104">
        <v>0</v>
      </c>
      <c r="EV156" s="187">
        <v>6</v>
      </c>
      <c r="EW156" s="187">
        <v>25</v>
      </c>
      <c r="EX156" s="187">
        <v>25</v>
      </c>
      <c r="EY156" s="104">
        <v>0</v>
      </c>
      <c r="EZ156" s="104">
        <v>0</v>
      </c>
      <c r="FA156" s="104">
        <v>0</v>
      </c>
      <c r="FB156" s="104">
        <v>0</v>
      </c>
      <c r="FC156" s="59"/>
      <c r="FD156" s="59"/>
      <c r="FE156" s="59"/>
      <c r="FF156" s="59"/>
      <c r="FG156" s="59"/>
      <c r="FH156" s="59"/>
      <c r="FI156" s="59"/>
      <c r="FJ156" s="59"/>
      <c r="FK156" s="59"/>
      <c r="FL156" s="59"/>
      <c r="FM156" s="59"/>
      <c r="FN156" s="59"/>
      <c r="FO156" s="59"/>
      <c r="FP156" s="59"/>
      <c r="FQ156" s="59"/>
      <c r="FR156" s="59"/>
      <c r="FS156" s="59"/>
      <c r="FT156" s="59"/>
      <c r="FU156" s="59"/>
      <c r="FV156" s="59"/>
      <c r="FW156" s="59"/>
      <c r="FX156" s="59"/>
      <c r="FY156" s="59"/>
      <c r="FZ156" s="59"/>
      <c r="GA156" s="59"/>
      <c r="GB156" s="59"/>
      <c r="GC156" s="59"/>
      <c r="GD156" s="59"/>
      <c r="GE156" s="59"/>
      <c r="GF156" s="59"/>
      <c r="GG156" s="59"/>
      <c r="GH156" s="59"/>
      <c r="GI156" s="59"/>
      <c r="GJ156" s="59"/>
      <c r="GK156" s="59"/>
      <c r="GL156" s="59"/>
      <c r="GM156" s="59"/>
      <c r="GN156" s="59"/>
      <c r="GO156" s="59"/>
      <c r="GP156" s="59"/>
      <c r="GQ156" s="59"/>
      <c r="GR156" s="59"/>
      <c r="GS156" s="59"/>
      <c r="GT156" s="59"/>
    </row>
    <row r="157" spans="1:202" ht="27" customHeight="1">
      <c r="A157" s="92"/>
      <c r="B157" s="93"/>
      <c r="C157" s="94"/>
      <c r="D157" s="94"/>
      <c r="E157" s="105"/>
      <c r="F157" s="95"/>
      <c r="G157" s="96"/>
      <c r="H157" s="96"/>
      <c r="I157" s="59"/>
      <c r="J157" s="59"/>
      <c r="K157" s="95"/>
      <c r="L157" s="95"/>
      <c r="M157" s="59"/>
      <c r="N157" s="59"/>
      <c r="O157" s="95"/>
      <c r="P157" s="59"/>
      <c r="Q157" s="59"/>
      <c r="R157" s="59"/>
      <c r="S157" s="59"/>
      <c r="T157" s="59"/>
      <c r="U157" s="98"/>
      <c r="V157" s="99"/>
      <c r="W157" s="98"/>
      <c r="X157" s="99"/>
      <c r="Y157" s="98"/>
      <c r="Z157" s="99"/>
      <c r="AA157" s="59"/>
      <c r="AB157" s="59"/>
      <c r="AC157" s="59"/>
      <c r="AD157" s="59"/>
      <c r="AE157" s="100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 t="s">
        <v>282</v>
      </c>
      <c r="DW157" s="59" t="s">
        <v>284</v>
      </c>
      <c r="DX157" s="59" t="s">
        <v>285</v>
      </c>
      <c r="DY157" s="184" t="s">
        <v>332</v>
      </c>
      <c r="DZ157" s="184" t="s">
        <v>333</v>
      </c>
      <c r="EA157" s="59">
        <f>3.5-3.3</f>
        <v>0.20000000000000018</v>
      </c>
      <c r="EB157" s="59">
        <v>2538</v>
      </c>
      <c r="EC157" s="59" t="s">
        <v>185</v>
      </c>
      <c r="ED157" s="185">
        <v>1.142</v>
      </c>
      <c r="EE157" s="185">
        <v>2.7</v>
      </c>
      <c r="EF157" s="185">
        <v>0.423</v>
      </c>
      <c r="EG157" s="186" t="s">
        <v>300</v>
      </c>
      <c r="EH157" s="102" t="s">
        <v>289</v>
      </c>
      <c r="EI157" s="187">
        <v>1.2</v>
      </c>
      <c r="EJ157" s="187">
        <v>1</v>
      </c>
      <c r="EK157" s="185">
        <v>0.018</v>
      </c>
      <c r="EL157" s="185">
        <v>0.562</v>
      </c>
      <c r="EM157" s="187">
        <v>0.06</v>
      </c>
      <c r="EN157" s="187">
        <v>1.2</v>
      </c>
      <c r="EO157" s="103">
        <f t="shared" si="8"/>
        <v>0.19999999999999996</v>
      </c>
      <c r="EP157" s="59">
        <v>0.15</v>
      </c>
      <c r="EQ157" s="187">
        <v>1</v>
      </c>
      <c r="ER157" s="187">
        <v>1</v>
      </c>
      <c r="ES157" s="104">
        <v>0</v>
      </c>
      <c r="ET157" s="187">
        <v>6</v>
      </c>
      <c r="EU157" s="104">
        <v>0</v>
      </c>
      <c r="EV157" s="187">
        <v>6</v>
      </c>
      <c r="EW157" s="187">
        <v>25</v>
      </c>
      <c r="EX157" s="187">
        <v>25</v>
      </c>
      <c r="EY157" s="104">
        <v>0</v>
      </c>
      <c r="EZ157" s="104">
        <v>0</v>
      </c>
      <c r="FA157" s="104">
        <v>0</v>
      </c>
      <c r="FB157" s="104">
        <v>0</v>
      </c>
      <c r="FC157" s="59"/>
      <c r="FD157" s="59"/>
      <c r="FE157" s="59"/>
      <c r="FF157" s="59"/>
      <c r="FG157" s="59"/>
      <c r="FH157" s="59"/>
      <c r="FI157" s="59"/>
      <c r="FJ157" s="59"/>
      <c r="FK157" s="59"/>
      <c r="FL157" s="59"/>
      <c r="FM157" s="59"/>
      <c r="FN157" s="59"/>
      <c r="FO157" s="59"/>
      <c r="FP157" s="59"/>
      <c r="FQ157" s="59"/>
      <c r="FR157" s="59"/>
      <c r="FS157" s="59"/>
      <c r="FT157" s="59"/>
      <c r="FU157" s="59"/>
      <c r="FV157" s="59"/>
      <c r="FW157" s="59"/>
      <c r="FX157" s="59"/>
      <c r="FY157" s="59"/>
      <c r="FZ157" s="59"/>
      <c r="GA157" s="59"/>
      <c r="GB157" s="59"/>
      <c r="GC157" s="59"/>
      <c r="GD157" s="59"/>
      <c r="GE157" s="59"/>
      <c r="GF157" s="59"/>
      <c r="GG157" s="59"/>
      <c r="GH157" s="59"/>
      <c r="GI157" s="59"/>
      <c r="GJ157" s="59"/>
      <c r="GK157" s="59"/>
      <c r="GL157" s="59"/>
      <c r="GM157" s="59"/>
      <c r="GN157" s="59"/>
      <c r="GO157" s="59"/>
      <c r="GP157" s="59"/>
      <c r="GQ157" s="59"/>
      <c r="GR157" s="59"/>
      <c r="GS157" s="59"/>
      <c r="GT157" s="59"/>
    </row>
    <row r="158" spans="1:202" ht="27" customHeight="1">
      <c r="A158" s="92"/>
      <c r="B158" s="93"/>
      <c r="C158" s="94"/>
      <c r="D158" s="94"/>
      <c r="E158" s="105"/>
      <c r="F158" s="95"/>
      <c r="G158" s="96"/>
      <c r="H158" s="96"/>
      <c r="I158" s="59"/>
      <c r="J158" s="59"/>
      <c r="K158" s="95"/>
      <c r="L158" s="95"/>
      <c r="M158" s="59"/>
      <c r="N158" s="59"/>
      <c r="O158" s="95"/>
      <c r="P158" s="59"/>
      <c r="Q158" s="59"/>
      <c r="R158" s="59"/>
      <c r="S158" s="59"/>
      <c r="T158" s="59"/>
      <c r="U158" s="98"/>
      <c r="V158" s="99"/>
      <c r="W158" s="98"/>
      <c r="X158" s="99"/>
      <c r="Y158" s="98"/>
      <c r="Z158" s="99"/>
      <c r="AA158" s="59"/>
      <c r="AB158" s="59"/>
      <c r="AC158" s="59"/>
      <c r="AD158" s="59"/>
      <c r="AE158" s="100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 t="s">
        <v>282</v>
      </c>
      <c r="DW158" s="59" t="s">
        <v>284</v>
      </c>
      <c r="DX158" s="59" t="s">
        <v>285</v>
      </c>
      <c r="DY158" s="188" t="s">
        <v>333</v>
      </c>
      <c r="DZ158" s="188" t="s">
        <v>334</v>
      </c>
      <c r="EA158" s="59">
        <f>4-3.5</f>
        <v>0.5</v>
      </c>
      <c r="EB158" s="59">
        <v>2538</v>
      </c>
      <c r="EC158" s="59" t="s">
        <v>185</v>
      </c>
      <c r="ED158" s="189">
        <v>1.142</v>
      </c>
      <c r="EE158" s="189">
        <v>2.7</v>
      </c>
      <c r="EF158" s="189">
        <v>0.423</v>
      </c>
      <c r="EG158" s="186" t="s">
        <v>300</v>
      </c>
      <c r="EH158" s="102" t="s">
        <v>289</v>
      </c>
      <c r="EI158" s="190">
        <v>1.2</v>
      </c>
      <c r="EJ158" s="190">
        <v>1</v>
      </c>
      <c r="EK158" s="189">
        <v>0.018</v>
      </c>
      <c r="EL158" s="189">
        <v>0.562</v>
      </c>
      <c r="EM158" s="190">
        <v>0.06</v>
      </c>
      <c r="EN158" s="190">
        <v>1.2</v>
      </c>
      <c r="EO158" s="103">
        <f t="shared" si="8"/>
        <v>0.19999999999999996</v>
      </c>
      <c r="EP158" s="59">
        <v>0.15</v>
      </c>
      <c r="EQ158" s="187">
        <v>1</v>
      </c>
      <c r="ER158" s="187">
        <v>1</v>
      </c>
      <c r="ES158" s="104">
        <v>0</v>
      </c>
      <c r="ET158" s="187">
        <v>6</v>
      </c>
      <c r="EU158" s="104">
        <v>0</v>
      </c>
      <c r="EV158" s="187">
        <v>6</v>
      </c>
      <c r="EW158" s="187">
        <v>25</v>
      </c>
      <c r="EX158" s="187">
        <v>25</v>
      </c>
      <c r="EY158" s="104">
        <v>0</v>
      </c>
      <c r="EZ158" s="104">
        <v>0</v>
      </c>
      <c r="FA158" s="104">
        <v>0</v>
      </c>
      <c r="FB158" s="104">
        <v>0</v>
      </c>
      <c r="FC158" s="59"/>
      <c r="FD158" s="59"/>
      <c r="FE158" s="59"/>
      <c r="FF158" s="59"/>
      <c r="FG158" s="59"/>
      <c r="FH158" s="59"/>
      <c r="FI158" s="59"/>
      <c r="FJ158" s="59"/>
      <c r="FK158" s="59"/>
      <c r="FL158" s="59"/>
      <c r="FM158" s="59"/>
      <c r="FN158" s="59"/>
      <c r="FO158" s="59"/>
      <c r="FP158" s="59"/>
      <c r="FQ158" s="59"/>
      <c r="FR158" s="59"/>
      <c r="FS158" s="59"/>
      <c r="FT158" s="59"/>
      <c r="FU158" s="59"/>
      <c r="FV158" s="59"/>
      <c r="FW158" s="59"/>
      <c r="FX158" s="59"/>
      <c r="FY158" s="59"/>
      <c r="FZ158" s="59"/>
      <c r="GA158" s="59"/>
      <c r="GB158" s="59"/>
      <c r="GC158" s="59"/>
      <c r="GD158" s="59"/>
      <c r="GE158" s="59"/>
      <c r="GF158" s="59"/>
      <c r="GG158" s="59"/>
      <c r="GH158" s="59"/>
      <c r="GI158" s="59"/>
      <c r="GJ158" s="59"/>
      <c r="GK158" s="59"/>
      <c r="GL158" s="59"/>
      <c r="GM158" s="59"/>
      <c r="GN158" s="59"/>
      <c r="GO158" s="59"/>
      <c r="GP158" s="59"/>
      <c r="GQ158" s="59"/>
      <c r="GR158" s="59"/>
      <c r="GS158" s="59"/>
      <c r="GT158" s="59"/>
    </row>
    <row r="159" spans="1:202" ht="27" customHeight="1">
      <c r="A159" s="92"/>
      <c r="B159" s="93"/>
      <c r="C159" s="94"/>
      <c r="D159" s="94"/>
      <c r="E159" s="105"/>
      <c r="F159" s="95"/>
      <c r="G159" s="96"/>
      <c r="H159" s="96"/>
      <c r="I159" s="59"/>
      <c r="J159" s="59"/>
      <c r="K159" s="95"/>
      <c r="L159" s="95"/>
      <c r="M159" s="59"/>
      <c r="N159" s="59"/>
      <c r="O159" s="95"/>
      <c r="P159" s="59"/>
      <c r="Q159" s="59"/>
      <c r="R159" s="59"/>
      <c r="S159" s="59"/>
      <c r="T159" s="59"/>
      <c r="U159" s="98"/>
      <c r="V159" s="99"/>
      <c r="W159" s="98"/>
      <c r="X159" s="99"/>
      <c r="Y159" s="98"/>
      <c r="Z159" s="99"/>
      <c r="AA159" s="59"/>
      <c r="AB159" s="59"/>
      <c r="AC159" s="59"/>
      <c r="AD159" s="59"/>
      <c r="AE159" s="100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 t="s">
        <v>282</v>
      </c>
      <c r="DW159" s="59" t="s">
        <v>284</v>
      </c>
      <c r="DX159" s="59" t="s">
        <v>285</v>
      </c>
      <c r="DY159" s="188" t="s">
        <v>334</v>
      </c>
      <c r="DZ159" s="188" t="s">
        <v>335</v>
      </c>
      <c r="EA159" s="59">
        <f>4.6-4</f>
        <v>0.5999999999999996</v>
      </c>
      <c r="EB159" s="59">
        <v>2538</v>
      </c>
      <c r="EC159" s="59" t="s">
        <v>185</v>
      </c>
      <c r="ED159" s="189">
        <v>1.142</v>
      </c>
      <c r="EE159" s="189">
        <v>2.7</v>
      </c>
      <c r="EF159" s="189">
        <v>0.423</v>
      </c>
      <c r="EG159" s="186" t="s">
        <v>300</v>
      </c>
      <c r="EH159" s="102" t="s">
        <v>289</v>
      </c>
      <c r="EI159" s="190">
        <v>1.2</v>
      </c>
      <c r="EJ159" s="190">
        <v>1</v>
      </c>
      <c r="EK159" s="185">
        <v>0.018</v>
      </c>
      <c r="EL159" s="189">
        <v>0.562</v>
      </c>
      <c r="EM159" s="190">
        <v>0.06</v>
      </c>
      <c r="EN159" s="190">
        <v>1.2</v>
      </c>
      <c r="EO159" s="103">
        <f t="shared" si="8"/>
        <v>0.19999999999999996</v>
      </c>
      <c r="EP159" s="59">
        <v>0.15</v>
      </c>
      <c r="EQ159" s="187">
        <v>1</v>
      </c>
      <c r="ER159" s="187">
        <v>1</v>
      </c>
      <c r="ES159" s="104">
        <v>0</v>
      </c>
      <c r="ET159" s="187">
        <v>6</v>
      </c>
      <c r="EU159" s="104">
        <v>0</v>
      </c>
      <c r="EV159" s="187">
        <v>6</v>
      </c>
      <c r="EW159" s="187">
        <v>25</v>
      </c>
      <c r="EX159" s="187">
        <v>25</v>
      </c>
      <c r="EY159" s="104">
        <v>0</v>
      </c>
      <c r="EZ159" s="104">
        <v>0</v>
      </c>
      <c r="FA159" s="104">
        <v>0</v>
      </c>
      <c r="FB159" s="104">
        <v>0</v>
      </c>
      <c r="FC159" s="59"/>
      <c r="FD159" s="59"/>
      <c r="FE159" s="59"/>
      <c r="FF159" s="59"/>
      <c r="FG159" s="59"/>
      <c r="FH159" s="59"/>
      <c r="FI159" s="59"/>
      <c r="FJ159" s="59"/>
      <c r="FK159" s="59"/>
      <c r="FL159" s="59"/>
      <c r="FM159" s="59"/>
      <c r="FN159" s="59"/>
      <c r="FO159" s="59"/>
      <c r="FP159" s="59"/>
      <c r="FQ159" s="59"/>
      <c r="FR159" s="59"/>
      <c r="FS159" s="59"/>
      <c r="FT159" s="59"/>
      <c r="FU159" s="59"/>
      <c r="FV159" s="59"/>
      <c r="FW159" s="59"/>
      <c r="FX159" s="59"/>
      <c r="FY159" s="59"/>
      <c r="FZ159" s="59"/>
      <c r="GA159" s="59"/>
      <c r="GB159" s="59"/>
      <c r="GC159" s="59"/>
      <c r="GD159" s="59"/>
      <c r="GE159" s="59"/>
      <c r="GF159" s="59"/>
      <c r="GG159" s="59"/>
      <c r="GH159" s="59"/>
      <c r="GI159" s="59"/>
      <c r="GJ159" s="59"/>
      <c r="GK159" s="59"/>
      <c r="GL159" s="59"/>
      <c r="GM159" s="59"/>
      <c r="GN159" s="59"/>
      <c r="GO159" s="59"/>
      <c r="GP159" s="59"/>
      <c r="GQ159" s="59"/>
      <c r="GR159" s="59"/>
      <c r="GS159" s="59"/>
      <c r="GT159" s="59"/>
    </row>
    <row r="160" spans="1:202" ht="27" customHeight="1">
      <c r="A160" s="92"/>
      <c r="B160" s="93"/>
      <c r="C160" s="94"/>
      <c r="D160" s="94"/>
      <c r="E160" s="105"/>
      <c r="F160" s="95"/>
      <c r="G160" s="96"/>
      <c r="H160" s="96"/>
      <c r="I160" s="59"/>
      <c r="J160" s="59"/>
      <c r="K160" s="95"/>
      <c r="L160" s="95"/>
      <c r="M160" s="59"/>
      <c r="N160" s="59"/>
      <c r="O160" s="95"/>
      <c r="P160" s="59"/>
      <c r="Q160" s="59"/>
      <c r="R160" s="59"/>
      <c r="S160" s="59"/>
      <c r="T160" s="59"/>
      <c r="U160" s="98"/>
      <c r="V160" s="99"/>
      <c r="W160" s="98"/>
      <c r="X160" s="99"/>
      <c r="Y160" s="98"/>
      <c r="Z160" s="99"/>
      <c r="AA160" s="59"/>
      <c r="AB160" s="59"/>
      <c r="AC160" s="59"/>
      <c r="AD160" s="59"/>
      <c r="AE160" s="100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 t="s">
        <v>282</v>
      </c>
      <c r="DW160" s="59" t="s">
        <v>284</v>
      </c>
      <c r="DX160" s="59" t="s">
        <v>285</v>
      </c>
      <c r="DY160" s="188" t="s">
        <v>335</v>
      </c>
      <c r="DZ160" s="188" t="s">
        <v>336</v>
      </c>
      <c r="EA160" s="59">
        <f>5.2-4.6</f>
        <v>0.6000000000000005</v>
      </c>
      <c r="EB160" s="59">
        <v>2538</v>
      </c>
      <c r="EC160" s="59" t="s">
        <v>185</v>
      </c>
      <c r="ED160" s="189">
        <v>0.871</v>
      </c>
      <c r="EE160" s="189">
        <v>2.205</v>
      </c>
      <c r="EF160" s="189">
        <v>0.395</v>
      </c>
      <c r="EG160" s="186" t="s">
        <v>300</v>
      </c>
      <c r="EH160" s="102" t="s">
        <v>289</v>
      </c>
      <c r="EI160" s="190">
        <v>1.1</v>
      </c>
      <c r="EJ160" s="190">
        <v>0.9</v>
      </c>
      <c r="EK160" s="189">
        <v>0.018</v>
      </c>
      <c r="EL160" s="189">
        <v>0.507</v>
      </c>
      <c r="EM160" s="190">
        <v>0.06</v>
      </c>
      <c r="EN160" s="190">
        <v>1.05</v>
      </c>
      <c r="EO160" s="103">
        <f t="shared" si="8"/>
        <v>0.15000000000000002</v>
      </c>
      <c r="EP160" s="59">
        <v>0.15</v>
      </c>
      <c r="EQ160" s="187">
        <v>1</v>
      </c>
      <c r="ER160" s="187">
        <v>1</v>
      </c>
      <c r="ES160" s="104">
        <v>0</v>
      </c>
      <c r="ET160" s="187">
        <v>6</v>
      </c>
      <c r="EU160" s="104">
        <v>0</v>
      </c>
      <c r="EV160" s="187">
        <v>6</v>
      </c>
      <c r="EW160" s="187">
        <v>25</v>
      </c>
      <c r="EX160" s="187">
        <v>25</v>
      </c>
      <c r="EY160" s="104">
        <v>0</v>
      </c>
      <c r="EZ160" s="104">
        <v>0</v>
      </c>
      <c r="FA160" s="104">
        <v>0</v>
      </c>
      <c r="FB160" s="104">
        <v>0</v>
      </c>
      <c r="FC160" s="59"/>
      <c r="FD160" s="59"/>
      <c r="FE160" s="59"/>
      <c r="FF160" s="59"/>
      <c r="FG160" s="59"/>
      <c r="FH160" s="59"/>
      <c r="FI160" s="59"/>
      <c r="FJ160" s="59"/>
      <c r="FK160" s="59"/>
      <c r="FL160" s="59"/>
      <c r="FM160" s="59"/>
      <c r="FN160" s="59"/>
      <c r="FO160" s="59"/>
      <c r="FP160" s="59"/>
      <c r="FQ160" s="59"/>
      <c r="FR160" s="59"/>
      <c r="FS160" s="59"/>
      <c r="FT160" s="59"/>
      <c r="FU160" s="59"/>
      <c r="FV160" s="59"/>
      <c r="FW160" s="59"/>
      <c r="FX160" s="59"/>
      <c r="FY160" s="59"/>
      <c r="FZ160" s="59"/>
      <c r="GA160" s="59"/>
      <c r="GB160" s="59"/>
      <c r="GC160" s="59"/>
      <c r="GD160" s="59"/>
      <c r="GE160" s="59"/>
      <c r="GF160" s="59"/>
      <c r="GG160" s="59"/>
      <c r="GH160" s="59"/>
      <c r="GI160" s="59"/>
      <c r="GJ160" s="59"/>
      <c r="GK160" s="59"/>
      <c r="GL160" s="59"/>
      <c r="GM160" s="59"/>
      <c r="GN160" s="59"/>
      <c r="GO160" s="59"/>
      <c r="GP160" s="59"/>
      <c r="GQ160" s="59"/>
      <c r="GR160" s="59"/>
      <c r="GS160" s="59"/>
      <c r="GT160" s="59"/>
    </row>
    <row r="161" spans="1:202" ht="27" customHeight="1">
      <c r="A161" s="92"/>
      <c r="B161" s="93"/>
      <c r="C161" s="94"/>
      <c r="D161" s="94"/>
      <c r="E161" s="105"/>
      <c r="F161" s="95"/>
      <c r="G161" s="96"/>
      <c r="H161" s="96"/>
      <c r="I161" s="59"/>
      <c r="J161" s="59"/>
      <c r="K161" s="95"/>
      <c r="L161" s="95"/>
      <c r="M161" s="59"/>
      <c r="N161" s="59"/>
      <c r="O161" s="95"/>
      <c r="P161" s="59"/>
      <c r="Q161" s="59"/>
      <c r="R161" s="59"/>
      <c r="S161" s="59"/>
      <c r="T161" s="59"/>
      <c r="U161" s="98"/>
      <c r="V161" s="99"/>
      <c r="W161" s="98"/>
      <c r="X161" s="99"/>
      <c r="Y161" s="98"/>
      <c r="Z161" s="99"/>
      <c r="AA161" s="59"/>
      <c r="AB161" s="59"/>
      <c r="AC161" s="59"/>
      <c r="AD161" s="59"/>
      <c r="AE161" s="100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 t="s">
        <v>282</v>
      </c>
      <c r="DW161" s="59" t="s">
        <v>284</v>
      </c>
      <c r="DX161" s="59" t="s">
        <v>285</v>
      </c>
      <c r="DY161" s="188" t="s">
        <v>336</v>
      </c>
      <c r="DZ161" s="188" t="s">
        <v>337</v>
      </c>
      <c r="EA161" s="59">
        <f>5.234-5.2</f>
        <v>0.03399999999999981</v>
      </c>
      <c r="EB161" s="59">
        <v>2538</v>
      </c>
      <c r="EC161" s="59" t="s">
        <v>185</v>
      </c>
      <c r="ED161" s="189">
        <v>0.826</v>
      </c>
      <c r="EE161" s="189">
        <v>2.115</v>
      </c>
      <c r="EF161" s="189">
        <v>0.39</v>
      </c>
      <c r="EG161" s="186" t="s">
        <v>300</v>
      </c>
      <c r="EH161" s="102" t="s">
        <v>289</v>
      </c>
      <c r="EI161" s="190">
        <v>1</v>
      </c>
      <c r="EJ161" s="190">
        <v>0.9</v>
      </c>
      <c r="EK161" s="185">
        <v>0.018</v>
      </c>
      <c r="EL161" s="189">
        <v>0.498</v>
      </c>
      <c r="EM161" s="190">
        <v>0.06</v>
      </c>
      <c r="EN161" s="190">
        <v>0.05</v>
      </c>
      <c r="EO161" s="103">
        <f t="shared" si="8"/>
        <v>-0.85</v>
      </c>
      <c r="EP161" s="59">
        <v>0.15</v>
      </c>
      <c r="EQ161" s="187">
        <v>1</v>
      </c>
      <c r="ER161" s="187">
        <v>1</v>
      </c>
      <c r="ES161" s="104">
        <v>0</v>
      </c>
      <c r="ET161" s="187">
        <v>6</v>
      </c>
      <c r="EU161" s="104">
        <v>0</v>
      </c>
      <c r="EV161" s="187">
        <v>6</v>
      </c>
      <c r="EW161" s="187">
        <v>25</v>
      </c>
      <c r="EX161" s="187">
        <v>25</v>
      </c>
      <c r="EY161" s="104">
        <v>0</v>
      </c>
      <c r="EZ161" s="104">
        <v>0</v>
      </c>
      <c r="FA161" s="104">
        <v>0</v>
      </c>
      <c r="FB161" s="104">
        <v>0</v>
      </c>
      <c r="FC161" s="59"/>
      <c r="FD161" s="59"/>
      <c r="FE161" s="59"/>
      <c r="FF161" s="59"/>
      <c r="FG161" s="59"/>
      <c r="FH161" s="59"/>
      <c r="FI161" s="59"/>
      <c r="FJ161" s="59"/>
      <c r="FK161" s="59"/>
      <c r="FL161" s="59"/>
      <c r="FM161" s="59"/>
      <c r="FN161" s="59"/>
      <c r="FO161" s="59"/>
      <c r="FP161" s="59"/>
      <c r="FQ161" s="59"/>
      <c r="FR161" s="59"/>
      <c r="FS161" s="59"/>
      <c r="FT161" s="59"/>
      <c r="FU161" s="59"/>
      <c r="FV161" s="59"/>
      <c r="FW161" s="59"/>
      <c r="FX161" s="59"/>
      <c r="FY161" s="59"/>
      <c r="FZ161" s="59"/>
      <c r="GA161" s="59"/>
      <c r="GB161" s="59"/>
      <c r="GC161" s="59"/>
      <c r="GD161" s="59"/>
      <c r="GE161" s="59"/>
      <c r="GF161" s="59"/>
      <c r="GG161" s="59"/>
      <c r="GH161" s="59"/>
      <c r="GI161" s="59"/>
      <c r="GJ161" s="59"/>
      <c r="GK161" s="59"/>
      <c r="GL161" s="59"/>
      <c r="GM161" s="59"/>
      <c r="GN161" s="59"/>
      <c r="GO161" s="59"/>
      <c r="GP161" s="59"/>
      <c r="GQ161" s="59"/>
      <c r="GR161" s="59"/>
      <c r="GS161" s="59"/>
      <c r="GT161" s="59"/>
    </row>
    <row r="162" spans="1:202" ht="27" customHeight="1">
      <c r="A162" s="92"/>
      <c r="B162" s="93"/>
      <c r="C162" s="94"/>
      <c r="D162" s="94"/>
      <c r="E162" s="105"/>
      <c r="F162" s="95"/>
      <c r="G162" s="96"/>
      <c r="H162" s="96"/>
      <c r="I162" s="59"/>
      <c r="J162" s="59"/>
      <c r="K162" s="95"/>
      <c r="L162" s="95"/>
      <c r="M162" s="59"/>
      <c r="N162" s="59"/>
      <c r="O162" s="95"/>
      <c r="P162" s="59"/>
      <c r="Q162" s="59"/>
      <c r="R162" s="59"/>
      <c r="S162" s="59"/>
      <c r="T162" s="59"/>
      <c r="U162" s="98"/>
      <c r="V162" s="99"/>
      <c r="W162" s="98"/>
      <c r="X162" s="99"/>
      <c r="Y162" s="98"/>
      <c r="Z162" s="99"/>
      <c r="AA162" s="59"/>
      <c r="AB162" s="59"/>
      <c r="AC162" s="59"/>
      <c r="AD162" s="59"/>
      <c r="AE162" s="100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 t="s">
        <v>378</v>
      </c>
      <c r="DW162" s="59" t="s">
        <v>284</v>
      </c>
      <c r="DX162" s="59" t="s">
        <v>285</v>
      </c>
      <c r="DY162" s="184" t="s">
        <v>286</v>
      </c>
      <c r="DZ162" s="184" t="s">
        <v>338</v>
      </c>
      <c r="EA162" s="59">
        <f>0.16-0</f>
        <v>0.16</v>
      </c>
      <c r="EB162" s="59">
        <v>2538</v>
      </c>
      <c r="EC162" s="59" t="s">
        <v>185</v>
      </c>
      <c r="ED162" s="185">
        <v>0.065</v>
      </c>
      <c r="EE162" s="185">
        <v>0.9</v>
      </c>
      <c r="EF162" s="185">
        <v>0.294</v>
      </c>
      <c r="EG162" s="186" t="s">
        <v>300</v>
      </c>
      <c r="EH162" s="102" t="s">
        <v>289</v>
      </c>
      <c r="EI162" s="187">
        <v>0.6</v>
      </c>
      <c r="EJ162" s="187">
        <v>0.6</v>
      </c>
      <c r="EK162" s="185">
        <v>0.018</v>
      </c>
      <c r="EL162" s="185">
        <v>0.326</v>
      </c>
      <c r="EM162" s="187">
        <v>0.6</v>
      </c>
      <c r="EN162" s="187">
        <v>0.75</v>
      </c>
      <c r="EO162" s="103">
        <f t="shared" si="8"/>
        <v>0.15000000000000002</v>
      </c>
      <c r="EP162" s="59">
        <v>0.15</v>
      </c>
      <c r="EQ162" s="187" t="s">
        <v>185</v>
      </c>
      <c r="ER162" s="187" t="s">
        <v>185</v>
      </c>
      <c r="ES162" s="104">
        <v>0</v>
      </c>
      <c r="ET162" s="187">
        <v>5</v>
      </c>
      <c r="EU162" s="104">
        <v>0</v>
      </c>
      <c r="EV162" s="187">
        <v>5</v>
      </c>
      <c r="EW162" s="187">
        <v>20</v>
      </c>
      <c r="EX162" s="187">
        <v>20</v>
      </c>
      <c r="EY162" s="104">
        <v>0</v>
      </c>
      <c r="EZ162" s="104">
        <v>0</v>
      </c>
      <c r="FA162" s="104">
        <v>0</v>
      </c>
      <c r="FB162" s="104">
        <v>0</v>
      </c>
      <c r="FC162" s="59"/>
      <c r="FD162" s="59"/>
      <c r="FE162" s="59"/>
      <c r="FF162" s="59"/>
      <c r="FG162" s="59"/>
      <c r="FH162" s="59"/>
      <c r="FI162" s="59"/>
      <c r="FJ162" s="59"/>
      <c r="FK162" s="59"/>
      <c r="FL162" s="59"/>
      <c r="FM162" s="59"/>
      <c r="FN162" s="59"/>
      <c r="FO162" s="59"/>
      <c r="FP162" s="59"/>
      <c r="FQ162" s="59"/>
      <c r="FR162" s="59"/>
      <c r="FS162" s="59"/>
      <c r="FT162" s="59"/>
      <c r="FU162" s="59"/>
      <c r="FV162" s="59"/>
      <c r="FW162" s="59"/>
      <c r="FX162" s="59"/>
      <c r="FY162" s="59"/>
      <c r="FZ162" s="59"/>
      <c r="GA162" s="59"/>
      <c r="GB162" s="59"/>
      <c r="GC162" s="59"/>
      <c r="GD162" s="59"/>
      <c r="GE162" s="59"/>
      <c r="GF162" s="59"/>
      <c r="GG162" s="59"/>
      <c r="GH162" s="59"/>
      <c r="GI162" s="59"/>
      <c r="GJ162" s="59"/>
      <c r="GK162" s="59"/>
      <c r="GL162" s="59"/>
      <c r="GM162" s="59"/>
      <c r="GN162" s="59"/>
      <c r="GO162" s="59"/>
      <c r="GP162" s="59"/>
      <c r="GQ162" s="59"/>
      <c r="GR162" s="59"/>
      <c r="GS162" s="59"/>
      <c r="GT162" s="59"/>
    </row>
    <row r="163" spans="1:202" ht="27" customHeight="1">
      <c r="A163" s="92"/>
      <c r="B163" s="93"/>
      <c r="C163" s="94"/>
      <c r="D163" s="94"/>
      <c r="E163" s="105"/>
      <c r="F163" s="95"/>
      <c r="G163" s="96"/>
      <c r="H163" s="96"/>
      <c r="I163" s="59"/>
      <c r="J163" s="59"/>
      <c r="K163" s="95"/>
      <c r="L163" s="95"/>
      <c r="M163" s="59"/>
      <c r="N163" s="59"/>
      <c r="O163" s="95"/>
      <c r="P163" s="59"/>
      <c r="Q163" s="59"/>
      <c r="R163" s="59"/>
      <c r="S163" s="59"/>
      <c r="T163" s="59"/>
      <c r="U163" s="98"/>
      <c r="V163" s="99"/>
      <c r="W163" s="98"/>
      <c r="X163" s="99"/>
      <c r="Y163" s="98"/>
      <c r="Z163" s="99"/>
      <c r="AA163" s="59"/>
      <c r="AB163" s="59"/>
      <c r="AC163" s="59"/>
      <c r="AD163" s="59"/>
      <c r="AE163" s="100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 t="s">
        <v>378</v>
      </c>
      <c r="DW163" s="59" t="s">
        <v>284</v>
      </c>
      <c r="DX163" s="59" t="s">
        <v>285</v>
      </c>
      <c r="DY163" s="184" t="s">
        <v>339</v>
      </c>
      <c r="DZ163" s="184" t="s">
        <v>340</v>
      </c>
      <c r="EA163" s="59">
        <f>0.88-0.15</f>
        <v>0.73</v>
      </c>
      <c r="EB163" s="59">
        <v>2538</v>
      </c>
      <c r="EC163" s="59" t="s">
        <v>185</v>
      </c>
      <c r="ED163" s="185">
        <v>0.163</v>
      </c>
      <c r="EE163" s="185">
        <v>0.625</v>
      </c>
      <c r="EF163" s="185">
        <v>0.26</v>
      </c>
      <c r="EG163" s="186" t="s">
        <v>300</v>
      </c>
      <c r="EH163" s="102" t="s">
        <v>289</v>
      </c>
      <c r="EI163" s="187">
        <v>0.5</v>
      </c>
      <c r="EJ163" s="187">
        <v>0.5</v>
      </c>
      <c r="EK163" s="185">
        <v>0.018</v>
      </c>
      <c r="EL163" s="185">
        <v>0.271</v>
      </c>
      <c r="EM163" s="187">
        <v>0.6</v>
      </c>
      <c r="EN163" s="187">
        <v>0.65</v>
      </c>
      <c r="EO163" s="103">
        <f t="shared" si="8"/>
        <v>0.15000000000000002</v>
      </c>
      <c r="EP163" s="59">
        <v>0.15</v>
      </c>
      <c r="EQ163" s="187" t="s">
        <v>185</v>
      </c>
      <c r="ER163" s="187" t="s">
        <v>185</v>
      </c>
      <c r="ES163" s="104">
        <v>0</v>
      </c>
      <c r="ET163" s="187">
        <v>5</v>
      </c>
      <c r="EU163" s="104">
        <v>0</v>
      </c>
      <c r="EV163" s="187">
        <v>5</v>
      </c>
      <c r="EW163" s="187">
        <v>20</v>
      </c>
      <c r="EX163" s="187">
        <v>20</v>
      </c>
      <c r="EY163" s="104">
        <v>0</v>
      </c>
      <c r="EZ163" s="104">
        <v>0</v>
      </c>
      <c r="FA163" s="104">
        <v>0</v>
      </c>
      <c r="FB163" s="104">
        <v>0</v>
      </c>
      <c r="FC163" s="59"/>
      <c r="FD163" s="59"/>
      <c r="FE163" s="59"/>
      <c r="FF163" s="59"/>
      <c r="FG163" s="59"/>
      <c r="FH163" s="59"/>
      <c r="FI163" s="59"/>
      <c r="FJ163" s="59"/>
      <c r="FK163" s="59"/>
      <c r="FL163" s="59"/>
      <c r="FM163" s="59"/>
      <c r="FN163" s="59"/>
      <c r="FO163" s="59"/>
      <c r="FP163" s="59"/>
      <c r="FQ163" s="59"/>
      <c r="FR163" s="59"/>
      <c r="FS163" s="59"/>
      <c r="FT163" s="59"/>
      <c r="FU163" s="59"/>
      <c r="FV163" s="59"/>
      <c r="FW163" s="59"/>
      <c r="FX163" s="59"/>
      <c r="FY163" s="59"/>
      <c r="FZ163" s="59"/>
      <c r="GA163" s="59"/>
      <c r="GB163" s="59"/>
      <c r="GC163" s="59"/>
      <c r="GD163" s="59"/>
      <c r="GE163" s="59"/>
      <c r="GF163" s="59"/>
      <c r="GG163" s="59"/>
      <c r="GH163" s="59"/>
      <c r="GI163" s="59"/>
      <c r="GJ163" s="59"/>
      <c r="GK163" s="59"/>
      <c r="GL163" s="59"/>
      <c r="GM163" s="59"/>
      <c r="GN163" s="59"/>
      <c r="GO163" s="59"/>
      <c r="GP163" s="59"/>
      <c r="GQ163" s="59"/>
      <c r="GR163" s="59"/>
      <c r="GS163" s="59"/>
      <c r="GT163" s="59"/>
    </row>
    <row r="164" spans="1:202" ht="27" customHeight="1">
      <c r="A164" s="92"/>
      <c r="B164" s="93"/>
      <c r="C164" s="94"/>
      <c r="D164" s="94"/>
      <c r="E164" s="105"/>
      <c r="F164" s="95"/>
      <c r="G164" s="96"/>
      <c r="H164" s="96"/>
      <c r="I164" s="59"/>
      <c r="J164" s="59"/>
      <c r="K164" s="95"/>
      <c r="L164" s="95"/>
      <c r="M164" s="59"/>
      <c r="N164" s="59"/>
      <c r="O164" s="95"/>
      <c r="P164" s="59"/>
      <c r="Q164" s="59"/>
      <c r="R164" s="59"/>
      <c r="S164" s="59"/>
      <c r="T164" s="59"/>
      <c r="U164" s="98"/>
      <c r="V164" s="99"/>
      <c r="W164" s="98"/>
      <c r="X164" s="99"/>
      <c r="Y164" s="98"/>
      <c r="Z164" s="99"/>
      <c r="AA164" s="59"/>
      <c r="AB164" s="59"/>
      <c r="AC164" s="59"/>
      <c r="AD164" s="59"/>
      <c r="AE164" s="100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 t="s">
        <v>378</v>
      </c>
      <c r="DW164" s="59" t="s">
        <v>284</v>
      </c>
      <c r="DX164" s="59" t="s">
        <v>285</v>
      </c>
      <c r="DY164" s="184" t="s">
        <v>340</v>
      </c>
      <c r="DZ164" s="184" t="s">
        <v>341</v>
      </c>
      <c r="EA164" s="59">
        <f>1.6-0.88</f>
        <v>0.7200000000000001</v>
      </c>
      <c r="EB164" s="59">
        <v>2538</v>
      </c>
      <c r="EC164" s="59" t="s">
        <v>185</v>
      </c>
      <c r="ED164" s="185">
        <v>0.163</v>
      </c>
      <c r="EE164" s="185">
        <v>0.625</v>
      </c>
      <c r="EF164" s="185">
        <v>0.26</v>
      </c>
      <c r="EG164" s="186" t="s">
        <v>300</v>
      </c>
      <c r="EH164" s="102" t="s">
        <v>289</v>
      </c>
      <c r="EI164" s="187">
        <v>0.5</v>
      </c>
      <c r="EJ164" s="187">
        <v>0.5</v>
      </c>
      <c r="EK164" s="185">
        <v>0.018</v>
      </c>
      <c r="EL164" s="185">
        <v>0.271</v>
      </c>
      <c r="EM164" s="187">
        <v>0.5</v>
      </c>
      <c r="EN164" s="187">
        <v>0.65</v>
      </c>
      <c r="EO164" s="103">
        <f t="shared" si="8"/>
        <v>0.15000000000000002</v>
      </c>
      <c r="EP164" s="59">
        <v>0.15</v>
      </c>
      <c r="EQ164" s="187" t="s">
        <v>185</v>
      </c>
      <c r="ER164" s="187" t="s">
        <v>185</v>
      </c>
      <c r="ES164" s="104">
        <v>0</v>
      </c>
      <c r="ET164" s="187">
        <v>5</v>
      </c>
      <c r="EU164" s="104">
        <v>0</v>
      </c>
      <c r="EV164" s="187">
        <v>5</v>
      </c>
      <c r="EW164" s="187">
        <v>20</v>
      </c>
      <c r="EX164" s="187">
        <v>20</v>
      </c>
      <c r="EY164" s="104">
        <v>0</v>
      </c>
      <c r="EZ164" s="104">
        <v>0</v>
      </c>
      <c r="FA164" s="104">
        <v>0</v>
      </c>
      <c r="FB164" s="104">
        <v>0</v>
      </c>
      <c r="FC164" s="59"/>
      <c r="FD164" s="59"/>
      <c r="FE164" s="59"/>
      <c r="FF164" s="59"/>
      <c r="FG164" s="59"/>
      <c r="FH164" s="59"/>
      <c r="FI164" s="59"/>
      <c r="FJ164" s="59"/>
      <c r="FK164" s="59"/>
      <c r="FL164" s="59"/>
      <c r="FM164" s="59"/>
      <c r="FN164" s="59"/>
      <c r="FO164" s="59"/>
      <c r="FP164" s="59"/>
      <c r="FQ164" s="59"/>
      <c r="FR164" s="59"/>
      <c r="FS164" s="59"/>
      <c r="FT164" s="59"/>
      <c r="FU164" s="59"/>
      <c r="FV164" s="59"/>
      <c r="FW164" s="59"/>
      <c r="FX164" s="59"/>
      <c r="FY164" s="59"/>
      <c r="FZ164" s="59"/>
      <c r="GA164" s="59"/>
      <c r="GB164" s="59"/>
      <c r="GC164" s="59"/>
      <c r="GD164" s="59"/>
      <c r="GE164" s="59"/>
      <c r="GF164" s="59"/>
      <c r="GG164" s="59"/>
      <c r="GH164" s="59"/>
      <c r="GI164" s="59"/>
      <c r="GJ164" s="59"/>
      <c r="GK164" s="59"/>
      <c r="GL164" s="59"/>
      <c r="GM164" s="59"/>
      <c r="GN164" s="59"/>
      <c r="GO164" s="59"/>
      <c r="GP164" s="59"/>
      <c r="GQ164" s="59"/>
      <c r="GR164" s="59"/>
      <c r="GS164" s="59"/>
      <c r="GT164" s="59"/>
    </row>
    <row r="165" spans="1:202" ht="27" customHeight="1">
      <c r="A165" s="92"/>
      <c r="B165" s="93"/>
      <c r="C165" s="94"/>
      <c r="D165" s="94"/>
      <c r="E165" s="105"/>
      <c r="F165" s="95"/>
      <c r="G165" s="96"/>
      <c r="H165" s="96"/>
      <c r="I165" s="59"/>
      <c r="J165" s="59"/>
      <c r="K165" s="95"/>
      <c r="L165" s="95"/>
      <c r="M165" s="59"/>
      <c r="N165" s="59"/>
      <c r="O165" s="95"/>
      <c r="P165" s="59"/>
      <c r="Q165" s="59"/>
      <c r="R165" s="59"/>
      <c r="S165" s="59"/>
      <c r="T165" s="59"/>
      <c r="U165" s="98"/>
      <c r="V165" s="99"/>
      <c r="W165" s="98"/>
      <c r="X165" s="99"/>
      <c r="Y165" s="98"/>
      <c r="Z165" s="99"/>
      <c r="AA165" s="59"/>
      <c r="AB165" s="59"/>
      <c r="AC165" s="59"/>
      <c r="AD165" s="59"/>
      <c r="AE165" s="100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 t="s">
        <v>283</v>
      </c>
      <c r="DW165" s="59" t="s">
        <v>284</v>
      </c>
      <c r="DX165" s="59" t="s">
        <v>285</v>
      </c>
      <c r="DY165" s="191" t="s">
        <v>318</v>
      </c>
      <c r="DZ165" s="191" t="s">
        <v>342</v>
      </c>
      <c r="EA165" s="59">
        <f>3.5-1.05</f>
        <v>2.45</v>
      </c>
      <c r="EB165" s="59">
        <v>2538</v>
      </c>
      <c r="EC165" s="59" t="s">
        <v>185</v>
      </c>
      <c r="ED165" s="184">
        <v>3.858</v>
      </c>
      <c r="EE165" s="184">
        <v>6.779</v>
      </c>
      <c r="EF165" s="184">
        <v>0.569</v>
      </c>
      <c r="EG165" s="186" t="s">
        <v>300</v>
      </c>
      <c r="EH165" s="102" t="s">
        <v>289</v>
      </c>
      <c r="EI165" s="187">
        <v>2.5</v>
      </c>
      <c r="EJ165" s="184">
        <v>1.45</v>
      </c>
      <c r="EK165" s="184">
        <v>0.018</v>
      </c>
      <c r="EL165" s="184">
        <v>0.877</v>
      </c>
      <c r="EM165" s="184">
        <v>0.06</v>
      </c>
      <c r="EN165" s="187">
        <v>1.7</v>
      </c>
      <c r="EO165" s="103">
        <f t="shared" si="8"/>
        <v>0.25</v>
      </c>
      <c r="EP165" s="59">
        <v>0.15</v>
      </c>
      <c r="EQ165" s="187">
        <v>2.5</v>
      </c>
      <c r="ER165" s="187">
        <v>2.5</v>
      </c>
      <c r="ES165" s="104">
        <v>0</v>
      </c>
      <c r="ET165" s="187">
        <v>6</v>
      </c>
      <c r="EU165" s="104">
        <v>0</v>
      </c>
      <c r="EV165" s="187">
        <v>3</v>
      </c>
      <c r="EW165" s="187">
        <v>25</v>
      </c>
      <c r="EX165" s="187">
        <v>25</v>
      </c>
      <c r="EY165" s="104">
        <v>0</v>
      </c>
      <c r="EZ165" s="104">
        <v>0</v>
      </c>
      <c r="FA165" s="104">
        <v>0</v>
      </c>
      <c r="FB165" s="104">
        <v>0</v>
      </c>
      <c r="FC165" s="59"/>
      <c r="FD165" s="59"/>
      <c r="FE165" s="59"/>
      <c r="FF165" s="59"/>
      <c r="FG165" s="59"/>
      <c r="FH165" s="59"/>
      <c r="FI165" s="59"/>
      <c r="FJ165" s="59"/>
      <c r="FK165" s="59"/>
      <c r="FL165" s="59"/>
      <c r="FM165" s="59"/>
      <c r="FN165" s="59"/>
      <c r="FO165" s="59"/>
      <c r="FP165" s="59"/>
      <c r="FQ165" s="59"/>
      <c r="FR165" s="59"/>
      <c r="FS165" s="59"/>
      <c r="FT165" s="59"/>
      <c r="FU165" s="59"/>
      <c r="FV165" s="59"/>
      <c r="FW165" s="59"/>
      <c r="FX165" s="59"/>
      <c r="FY165" s="59"/>
      <c r="FZ165" s="59"/>
      <c r="GA165" s="59"/>
      <c r="GB165" s="59"/>
      <c r="GC165" s="59"/>
      <c r="GD165" s="59"/>
      <c r="GE165" s="59"/>
      <c r="GF165" s="59"/>
      <c r="GG165" s="59"/>
      <c r="GH165" s="59"/>
      <c r="GI165" s="59"/>
      <c r="GJ165" s="59"/>
      <c r="GK165" s="59"/>
      <c r="GL165" s="59"/>
      <c r="GM165" s="59"/>
      <c r="GN165" s="59"/>
      <c r="GO165" s="59"/>
      <c r="GP165" s="59"/>
      <c r="GQ165" s="59"/>
      <c r="GR165" s="59"/>
      <c r="GS165" s="59"/>
      <c r="GT165" s="59"/>
    </row>
    <row r="166" spans="1:202" ht="27" customHeight="1">
      <c r="A166" s="92"/>
      <c r="B166" s="93"/>
      <c r="C166" s="94"/>
      <c r="D166" s="94"/>
      <c r="E166" s="105"/>
      <c r="F166" s="95"/>
      <c r="G166" s="96"/>
      <c r="H166" s="96"/>
      <c r="I166" s="59"/>
      <c r="J166" s="59"/>
      <c r="K166" s="95"/>
      <c r="L166" s="95"/>
      <c r="M166" s="59"/>
      <c r="N166" s="59"/>
      <c r="O166" s="95"/>
      <c r="P166" s="59"/>
      <c r="Q166" s="59"/>
      <c r="R166" s="59"/>
      <c r="S166" s="59"/>
      <c r="T166" s="59"/>
      <c r="U166" s="98"/>
      <c r="V166" s="99"/>
      <c r="W166" s="98"/>
      <c r="X166" s="99"/>
      <c r="Y166" s="98"/>
      <c r="Z166" s="99"/>
      <c r="AA166" s="59"/>
      <c r="AB166" s="59"/>
      <c r="AC166" s="59"/>
      <c r="AD166" s="59"/>
      <c r="AE166" s="100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 t="s">
        <v>283</v>
      </c>
      <c r="DW166" s="59" t="s">
        <v>284</v>
      </c>
      <c r="DX166" s="59" t="s">
        <v>285</v>
      </c>
      <c r="DY166" s="191" t="s">
        <v>342</v>
      </c>
      <c r="DZ166" s="191" t="s">
        <v>343</v>
      </c>
      <c r="EA166" s="59">
        <f>4.315-3.5</f>
        <v>0.8150000000000004</v>
      </c>
      <c r="EB166" s="59">
        <v>2538</v>
      </c>
      <c r="EC166" s="59" t="s">
        <v>185</v>
      </c>
      <c r="ED166" s="184">
        <v>3.858</v>
      </c>
      <c r="EE166" s="184">
        <v>6.779</v>
      </c>
      <c r="EF166" s="184">
        <v>0.569</v>
      </c>
      <c r="EG166" s="186" t="s">
        <v>300</v>
      </c>
      <c r="EH166" s="102" t="s">
        <v>289</v>
      </c>
      <c r="EI166" s="187">
        <v>2.5</v>
      </c>
      <c r="EJ166" s="184">
        <v>1.45</v>
      </c>
      <c r="EK166" s="184">
        <v>0.018</v>
      </c>
      <c r="EL166" s="184">
        <v>0.877</v>
      </c>
      <c r="EM166" s="184">
        <v>0.06</v>
      </c>
      <c r="EN166" s="187">
        <v>1.7</v>
      </c>
      <c r="EO166" s="103">
        <f t="shared" si="8"/>
        <v>0.25</v>
      </c>
      <c r="EP166" s="59">
        <v>0.15</v>
      </c>
      <c r="EQ166" s="187">
        <v>2.5</v>
      </c>
      <c r="ER166" s="187">
        <v>2.5</v>
      </c>
      <c r="ES166" s="104">
        <v>0</v>
      </c>
      <c r="ET166" s="187">
        <v>6</v>
      </c>
      <c r="EU166" s="104">
        <v>0</v>
      </c>
      <c r="EV166" s="187">
        <v>3</v>
      </c>
      <c r="EW166" s="187">
        <v>25</v>
      </c>
      <c r="EX166" s="187">
        <v>25</v>
      </c>
      <c r="EY166" s="104">
        <v>0</v>
      </c>
      <c r="EZ166" s="104">
        <v>0</v>
      </c>
      <c r="FA166" s="104">
        <v>0</v>
      </c>
      <c r="FB166" s="104">
        <v>0</v>
      </c>
      <c r="FC166" s="59"/>
      <c r="FD166" s="59"/>
      <c r="FE166" s="59"/>
      <c r="FF166" s="59"/>
      <c r="FG166" s="59"/>
      <c r="FH166" s="59"/>
      <c r="FI166" s="59"/>
      <c r="FJ166" s="59"/>
      <c r="FK166" s="59"/>
      <c r="FL166" s="59"/>
      <c r="FM166" s="59"/>
      <c r="FN166" s="59"/>
      <c r="FO166" s="59"/>
      <c r="FP166" s="59"/>
      <c r="FQ166" s="59"/>
      <c r="FR166" s="59"/>
      <c r="FS166" s="59"/>
      <c r="FT166" s="59"/>
      <c r="FU166" s="59"/>
      <c r="FV166" s="59"/>
      <c r="FW166" s="59"/>
      <c r="FX166" s="59"/>
      <c r="FY166" s="59"/>
      <c r="FZ166" s="59"/>
      <c r="GA166" s="59"/>
      <c r="GB166" s="59"/>
      <c r="GC166" s="59"/>
      <c r="GD166" s="59"/>
      <c r="GE166" s="59"/>
      <c r="GF166" s="59"/>
      <c r="GG166" s="59"/>
      <c r="GH166" s="59"/>
      <c r="GI166" s="59"/>
      <c r="GJ166" s="59"/>
      <c r="GK166" s="59"/>
      <c r="GL166" s="59"/>
      <c r="GM166" s="59"/>
      <c r="GN166" s="59"/>
      <c r="GO166" s="59"/>
      <c r="GP166" s="59"/>
      <c r="GQ166" s="59"/>
      <c r="GR166" s="59"/>
      <c r="GS166" s="59"/>
      <c r="GT166" s="59"/>
    </row>
    <row r="167" spans="1:202" ht="27" customHeight="1">
      <c r="A167" s="92"/>
      <c r="B167" s="93"/>
      <c r="C167" s="94"/>
      <c r="D167" s="94"/>
      <c r="E167" s="105"/>
      <c r="F167" s="95"/>
      <c r="G167" s="96"/>
      <c r="H167" s="96"/>
      <c r="I167" s="59"/>
      <c r="J167" s="59"/>
      <c r="K167" s="95"/>
      <c r="L167" s="95"/>
      <c r="M167" s="59"/>
      <c r="N167" s="59"/>
      <c r="O167" s="95"/>
      <c r="P167" s="59"/>
      <c r="Q167" s="59"/>
      <c r="R167" s="59"/>
      <c r="S167" s="59"/>
      <c r="T167" s="59"/>
      <c r="U167" s="98"/>
      <c r="V167" s="99"/>
      <c r="W167" s="98"/>
      <c r="X167" s="99"/>
      <c r="Y167" s="98"/>
      <c r="Z167" s="99"/>
      <c r="AA167" s="59"/>
      <c r="AB167" s="59"/>
      <c r="AC167" s="59"/>
      <c r="AD167" s="59"/>
      <c r="AE167" s="100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 t="s">
        <v>283</v>
      </c>
      <c r="DW167" s="59" t="s">
        <v>284</v>
      </c>
      <c r="DX167" s="59" t="s">
        <v>285</v>
      </c>
      <c r="DY167" s="191" t="s">
        <v>343</v>
      </c>
      <c r="DZ167" s="191" t="s">
        <v>344</v>
      </c>
      <c r="EA167" s="59">
        <f>5.28-4.315</f>
        <v>0.9649999999999999</v>
      </c>
      <c r="EB167" s="59">
        <v>2538</v>
      </c>
      <c r="EC167" s="59" t="s">
        <v>185</v>
      </c>
      <c r="ED167" s="184">
        <v>3.547</v>
      </c>
      <c r="EE167" s="184">
        <v>6.344</v>
      </c>
      <c r="EF167" s="184">
        <v>0.559</v>
      </c>
      <c r="EG167" s="186" t="s">
        <v>300</v>
      </c>
      <c r="EH167" s="102" t="s">
        <v>289</v>
      </c>
      <c r="EI167" s="187">
        <v>2.2</v>
      </c>
      <c r="EJ167" s="184">
        <v>1.45</v>
      </c>
      <c r="EK167" s="184">
        <v>0.018</v>
      </c>
      <c r="EL167" s="184">
        <v>0.854</v>
      </c>
      <c r="EM167" s="184">
        <v>0.06</v>
      </c>
      <c r="EN167" s="187">
        <v>1.7</v>
      </c>
      <c r="EO167" s="103">
        <f t="shared" si="8"/>
        <v>0.25</v>
      </c>
      <c r="EP167" s="59">
        <v>0.15</v>
      </c>
      <c r="EQ167" s="187">
        <v>2</v>
      </c>
      <c r="ER167" s="187">
        <v>2</v>
      </c>
      <c r="ES167" s="104">
        <v>0</v>
      </c>
      <c r="ET167" s="187">
        <v>6</v>
      </c>
      <c r="EU167" s="104">
        <v>0</v>
      </c>
      <c r="EV167" s="187">
        <v>3</v>
      </c>
      <c r="EW167" s="187">
        <v>25</v>
      </c>
      <c r="EX167" s="187">
        <v>25</v>
      </c>
      <c r="EY167" s="104">
        <v>0</v>
      </c>
      <c r="EZ167" s="104">
        <v>0</v>
      </c>
      <c r="FA167" s="104">
        <v>0</v>
      </c>
      <c r="FB167" s="104">
        <v>0</v>
      </c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  <c r="GC167" s="59"/>
      <c r="GD167" s="59"/>
      <c r="GE167" s="59"/>
      <c r="GF167" s="59"/>
      <c r="GG167" s="59"/>
      <c r="GH167" s="59"/>
      <c r="GI167" s="59"/>
      <c r="GJ167" s="59"/>
      <c r="GK167" s="59"/>
      <c r="GL167" s="59"/>
      <c r="GM167" s="59"/>
      <c r="GN167" s="59"/>
      <c r="GO167" s="59"/>
      <c r="GP167" s="59"/>
      <c r="GQ167" s="59"/>
      <c r="GR167" s="59"/>
      <c r="GS167" s="59"/>
      <c r="GT167" s="59"/>
    </row>
    <row r="168" spans="1:202" ht="27" customHeight="1">
      <c r="A168" s="92"/>
      <c r="B168" s="93"/>
      <c r="C168" s="94"/>
      <c r="D168" s="94"/>
      <c r="E168" s="105"/>
      <c r="F168" s="95"/>
      <c r="G168" s="96"/>
      <c r="H168" s="96"/>
      <c r="I168" s="59"/>
      <c r="J168" s="59"/>
      <c r="K168" s="95"/>
      <c r="L168" s="95"/>
      <c r="M168" s="59"/>
      <c r="N168" s="59"/>
      <c r="O168" s="95"/>
      <c r="P168" s="59"/>
      <c r="Q168" s="59"/>
      <c r="R168" s="59"/>
      <c r="S168" s="59"/>
      <c r="T168" s="59"/>
      <c r="U168" s="98"/>
      <c r="V168" s="99"/>
      <c r="W168" s="98"/>
      <c r="X168" s="99"/>
      <c r="Y168" s="98"/>
      <c r="Z168" s="99"/>
      <c r="AA168" s="59"/>
      <c r="AB168" s="59"/>
      <c r="AC168" s="59"/>
      <c r="AD168" s="59"/>
      <c r="AE168" s="100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 t="s">
        <v>283</v>
      </c>
      <c r="DW168" s="59" t="s">
        <v>284</v>
      </c>
      <c r="DX168" s="59" t="s">
        <v>285</v>
      </c>
      <c r="DY168" s="191" t="s">
        <v>344</v>
      </c>
      <c r="DZ168" s="191" t="s">
        <v>345</v>
      </c>
      <c r="EA168" s="59">
        <f>7-5.28</f>
        <v>1.7199999999999998</v>
      </c>
      <c r="EB168" s="59">
        <v>2538</v>
      </c>
      <c r="EC168" s="59" t="s">
        <v>185</v>
      </c>
      <c r="ED168" s="184">
        <v>3.547</v>
      </c>
      <c r="EE168" s="184">
        <v>6.344</v>
      </c>
      <c r="EF168" s="184">
        <v>0.559</v>
      </c>
      <c r="EG168" s="186" t="s">
        <v>300</v>
      </c>
      <c r="EH168" s="102" t="s">
        <v>289</v>
      </c>
      <c r="EI168" s="187">
        <v>2.2</v>
      </c>
      <c r="EJ168" s="184">
        <v>1.45</v>
      </c>
      <c r="EK168" s="184">
        <v>0.018</v>
      </c>
      <c r="EL168" s="184">
        <v>0.854</v>
      </c>
      <c r="EM168" s="184">
        <v>0.06</v>
      </c>
      <c r="EN168" s="187">
        <v>1.7</v>
      </c>
      <c r="EO168" s="103">
        <f t="shared" si="8"/>
        <v>0.25</v>
      </c>
      <c r="EP168" s="59">
        <v>0.15</v>
      </c>
      <c r="EQ168" s="187">
        <v>2</v>
      </c>
      <c r="ER168" s="187">
        <v>2</v>
      </c>
      <c r="ES168" s="104">
        <v>0</v>
      </c>
      <c r="ET168" s="187">
        <v>6</v>
      </c>
      <c r="EU168" s="104">
        <v>0</v>
      </c>
      <c r="EV168" s="187">
        <v>3</v>
      </c>
      <c r="EW168" s="187">
        <v>25</v>
      </c>
      <c r="EX168" s="187">
        <v>25</v>
      </c>
      <c r="EY168" s="104">
        <v>0</v>
      </c>
      <c r="EZ168" s="104">
        <v>0</v>
      </c>
      <c r="FA168" s="104">
        <v>0</v>
      </c>
      <c r="FB168" s="104">
        <v>0</v>
      </c>
      <c r="FC168" s="59"/>
      <c r="FD168" s="59"/>
      <c r="FE168" s="59"/>
      <c r="FF168" s="59"/>
      <c r="FG168" s="59"/>
      <c r="FH168" s="59"/>
      <c r="FI168" s="59"/>
      <c r="FJ168" s="59"/>
      <c r="FK168" s="59"/>
      <c r="FL168" s="59"/>
      <c r="FM168" s="59"/>
      <c r="FN168" s="59"/>
      <c r="FO168" s="59"/>
      <c r="FP168" s="59"/>
      <c r="FQ168" s="59"/>
      <c r="FR168" s="59"/>
      <c r="FS168" s="59"/>
      <c r="FT168" s="59"/>
      <c r="FU168" s="59"/>
      <c r="FV168" s="59"/>
      <c r="FW168" s="59"/>
      <c r="FX168" s="59"/>
      <c r="FY168" s="59"/>
      <c r="FZ168" s="59"/>
      <c r="GA168" s="59"/>
      <c r="GB168" s="59"/>
      <c r="GC168" s="59"/>
      <c r="GD168" s="59"/>
      <c r="GE168" s="59"/>
      <c r="GF168" s="59"/>
      <c r="GG168" s="59"/>
      <c r="GH168" s="59"/>
      <c r="GI168" s="59"/>
      <c r="GJ168" s="59"/>
      <c r="GK168" s="59"/>
      <c r="GL168" s="59"/>
      <c r="GM168" s="59"/>
      <c r="GN168" s="59"/>
      <c r="GO168" s="59"/>
      <c r="GP168" s="59"/>
      <c r="GQ168" s="59"/>
      <c r="GR168" s="59"/>
      <c r="GS168" s="59"/>
      <c r="GT168" s="59"/>
    </row>
    <row r="169" spans="1:202" ht="27" customHeight="1">
      <c r="A169" s="92"/>
      <c r="B169" s="93"/>
      <c r="C169" s="94"/>
      <c r="D169" s="94"/>
      <c r="E169" s="105"/>
      <c r="F169" s="95"/>
      <c r="G169" s="96"/>
      <c r="H169" s="96"/>
      <c r="I169" s="59"/>
      <c r="J169" s="59"/>
      <c r="K169" s="95"/>
      <c r="L169" s="95"/>
      <c r="M169" s="59"/>
      <c r="N169" s="59"/>
      <c r="O169" s="95"/>
      <c r="P169" s="59"/>
      <c r="Q169" s="59"/>
      <c r="R169" s="59"/>
      <c r="S169" s="59"/>
      <c r="T169" s="59"/>
      <c r="U169" s="98"/>
      <c r="V169" s="99"/>
      <c r="W169" s="98"/>
      <c r="X169" s="99"/>
      <c r="Y169" s="98"/>
      <c r="Z169" s="99"/>
      <c r="AA169" s="59"/>
      <c r="AB169" s="59"/>
      <c r="AC169" s="59"/>
      <c r="AD169" s="59"/>
      <c r="AE169" s="100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 t="s">
        <v>283</v>
      </c>
      <c r="DW169" s="59" t="s">
        <v>284</v>
      </c>
      <c r="DX169" s="59" t="s">
        <v>285</v>
      </c>
      <c r="DY169" s="191" t="s">
        <v>345</v>
      </c>
      <c r="DZ169" s="191" t="s">
        <v>346</v>
      </c>
      <c r="EA169" s="59">
        <f>9.56-7</f>
        <v>2.5600000000000005</v>
      </c>
      <c r="EB169" s="59">
        <v>2538</v>
      </c>
      <c r="EC169" s="59" t="s">
        <v>185</v>
      </c>
      <c r="ED169" s="184">
        <v>3.547</v>
      </c>
      <c r="EE169" s="184">
        <v>6.344</v>
      </c>
      <c r="EF169" s="184">
        <v>0.559</v>
      </c>
      <c r="EG169" s="186" t="s">
        <v>300</v>
      </c>
      <c r="EH169" s="102" t="s">
        <v>289</v>
      </c>
      <c r="EI169" s="187">
        <v>2.2</v>
      </c>
      <c r="EJ169" s="184">
        <v>1.45</v>
      </c>
      <c r="EK169" s="184">
        <v>0.018</v>
      </c>
      <c r="EL169" s="184">
        <v>0.854</v>
      </c>
      <c r="EM169" s="184">
        <v>0.06</v>
      </c>
      <c r="EN169" s="187">
        <v>1.7</v>
      </c>
      <c r="EO169" s="103">
        <f t="shared" si="8"/>
        <v>0.25</v>
      </c>
      <c r="EP169" s="59">
        <v>0.15</v>
      </c>
      <c r="EQ169" s="187">
        <v>2</v>
      </c>
      <c r="ER169" s="187">
        <v>2</v>
      </c>
      <c r="ES169" s="104">
        <v>0</v>
      </c>
      <c r="ET169" s="187">
        <v>6</v>
      </c>
      <c r="EU169" s="104">
        <v>0</v>
      </c>
      <c r="EV169" s="187">
        <v>3</v>
      </c>
      <c r="EW169" s="187">
        <v>25</v>
      </c>
      <c r="EX169" s="187">
        <v>25</v>
      </c>
      <c r="EY169" s="104">
        <v>0</v>
      </c>
      <c r="EZ169" s="104">
        <v>0</v>
      </c>
      <c r="FA169" s="104">
        <v>0</v>
      </c>
      <c r="FB169" s="104">
        <v>0</v>
      </c>
      <c r="FC169" s="59"/>
      <c r="FD169" s="59"/>
      <c r="FE169" s="59"/>
      <c r="FF169" s="59"/>
      <c r="FG169" s="59"/>
      <c r="FH169" s="59"/>
      <c r="FI169" s="59"/>
      <c r="FJ169" s="59"/>
      <c r="FK169" s="59"/>
      <c r="FL169" s="59"/>
      <c r="FM169" s="59"/>
      <c r="FN169" s="59"/>
      <c r="FO169" s="59"/>
      <c r="FP169" s="59"/>
      <c r="FQ169" s="59"/>
      <c r="FR169" s="59"/>
      <c r="FS169" s="59"/>
      <c r="FT169" s="59"/>
      <c r="FU169" s="59"/>
      <c r="FV169" s="59"/>
      <c r="FW169" s="59"/>
      <c r="FX169" s="59"/>
      <c r="FY169" s="59"/>
      <c r="FZ169" s="59"/>
      <c r="GA169" s="59"/>
      <c r="GB169" s="59"/>
      <c r="GC169" s="59"/>
      <c r="GD169" s="59"/>
      <c r="GE169" s="59"/>
      <c r="GF169" s="59"/>
      <c r="GG169" s="59"/>
      <c r="GH169" s="59"/>
      <c r="GI169" s="59"/>
      <c r="GJ169" s="59"/>
      <c r="GK169" s="59"/>
      <c r="GL169" s="59"/>
      <c r="GM169" s="59"/>
      <c r="GN169" s="59"/>
      <c r="GO169" s="59"/>
      <c r="GP169" s="59"/>
      <c r="GQ169" s="59"/>
      <c r="GR169" s="59"/>
      <c r="GS169" s="59"/>
      <c r="GT169" s="59"/>
    </row>
    <row r="170" spans="1:202" ht="27" customHeight="1">
      <c r="A170" s="92"/>
      <c r="B170" s="93"/>
      <c r="C170" s="94"/>
      <c r="D170" s="94"/>
      <c r="E170" s="105"/>
      <c r="F170" s="95"/>
      <c r="G170" s="96"/>
      <c r="H170" s="96"/>
      <c r="I170" s="59"/>
      <c r="J170" s="59"/>
      <c r="K170" s="95"/>
      <c r="L170" s="95"/>
      <c r="M170" s="59"/>
      <c r="N170" s="59"/>
      <c r="O170" s="95"/>
      <c r="P170" s="59"/>
      <c r="Q170" s="59"/>
      <c r="R170" s="59"/>
      <c r="S170" s="59"/>
      <c r="T170" s="59"/>
      <c r="U170" s="98"/>
      <c r="V170" s="99"/>
      <c r="W170" s="98"/>
      <c r="X170" s="99"/>
      <c r="Y170" s="98"/>
      <c r="Z170" s="99"/>
      <c r="AA170" s="59"/>
      <c r="AB170" s="59"/>
      <c r="AC170" s="59"/>
      <c r="AD170" s="59"/>
      <c r="AE170" s="100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 t="s">
        <v>283</v>
      </c>
      <c r="DW170" s="59" t="s">
        <v>284</v>
      </c>
      <c r="DX170" s="59" t="s">
        <v>285</v>
      </c>
      <c r="DY170" s="191" t="s">
        <v>346</v>
      </c>
      <c r="DZ170" s="191" t="s">
        <v>347</v>
      </c>
      <c r="EA170" s="59">
        <f>10.5-9.56</f>
        <v>0.9399999999999995</v>
      </c>
      <c r="EB170" s="59">
        <v>2538</v>
      </c>
      <c r="EC170" s="59" t="s">
        <v>185</v>
      </c>
      <c r="ED170" s="184">
        <v>3.547</v>
      </c>
      <c r="EE170" s="184">
        <v>6.344</v>
      </c>
      <c r="EF170" s="184">
        <v>0.559</v>
      </c>
      <c r="EG170" s="186" t="s">
        <v>300</v>
      </c>
      <c r="EH170" s="102" t="s">
        <v>289</v>
      </c>
      <c r="EI170" s="187">
        <v>2.2</v>
      </c>
      <c r="EJ170" s="184">
        <v>1.45</v>
      </c>
      <c r="EK170" s="184">
        <v>0.018</v>
      </c>
      <c r="EL170" s="184">
        <v>0.854</v>
      </c>
      <c r="EM170" s="184">
        <v>0.06</v>
      </c>
      <c r="EN170" s="187">
        <v>1.7</v>
      </c>
      <c r="EO170" s="103">
        <f t="shared" si="8"/>
        <v>0.25</v>
      </c>
      <c r="EP170" s="59">
        <v>0.15</v>
      </c>
      <c r="EQ170" s="187">
        <v>2</v>
      </c>
      <c r="ER170" s="187">
        <v>2</v>
      </c>
      <c r="ES170" s="104">
        <v>0</v>
      </c>
      <c r="ET170" s="187">
        <v>6</v>
      </c>
      <c r="EU170" s="104">
        <v>0</v>
      </c>
      <c r="EV170" s="187">
        <v>3</v>
      </c>
      <c r="EW170" s="187">
        <v>25</v>
      </c>
      <c r="EX170" s="187">
        <v>25</v>
      </c>
      <c r="EY170" s="104">
        <v>0</v>
      </c>
      <c r="EZ170" s="104">
        <v>0</v>
      </c>
      <c r="FA170" s="104">
        <v>0</v>
      </c>
      <c r="FB170" s="104">
        <v>0</v>
      </c>
      <c r="FC170" s="59"/>
      <c r="FD170" s="59"/>
      <c r="FE170" s="59"/>
      <c r="FF170" s="59"/>
      <c r="FG170" s="59"/>
      <c r="FH170" s="59"/>
      <c r="FI170" s="59"/>
      <c r="FJ170" s="59"/>
      <c r="FK170" s="59"/>
      <c r="FL170" s="59"/>
      <c r="FM170" s="59"/>
      <c r="FN170" s="59"/>
      <c r="FO170" s="59"/>
      <c r="FP170" s="59"/>
      <c r="FQ170" s="59"/>
      <c r="FR170" s="59"/>
      <c r="FS170" s="59"/>
      <c r="FT170" s="59"/>
      <c r="FU170" s="59"/>
      <c r="FV170" s="59"/>
      <c r="FW170" s="59"/>
      <c r="FX170" s="59"/>
      <c r="FY170" s="59"/>
      <c r="FZ170" s="59"/>
      <c r="GA170" s="59"/>
      <c r="GB170" s="59"/>
      <c r="GC170" s="59"/>
      <c r="GD170" s="59"/>
      <c r="GE170" s="59"/>
      <c r="GF170" s="59"/>
      <c r="GG170" s="59"/>
      <c r="GH170" s="59"/>
      <c r="GI170" s="59"/>
      <c r="GJ170" s="59"/>
      <c r="GK170" s="59"/>
      <c r="GL170" s="59"/>
      <c r="GM170" s="59"/>
      <c r="GN170" s="59"/>
      <c r="GO170" s="59"/>
      <c r="GP170" s="59"/>
      <c r="GQ170" s="59"/>
      <c r="GR170" s="59"/>
      <c r="GS170" s="59"/>
      <c r="GT170" s="59"/>
    </row>
    <row r="171" spans="1:202" ht="27" customHeight="1">
      <c r="A171" s="92"/>
      <c r="B171" s="93"/>
      <c r="C171" s="94"/>
      <c r="D171" s="94"/>
      <c r="E171" s="105"/>
      <c r="F171" s="95"/>
      <c r="G171" s="96"/>
      <c r="H171" s="96"/>
      <c r="I171" s="59"/>
      <c r="J171" s="59"/>
      <c r="K171" s="95"/>
      <c r="L171" s="95"/>
      <c r="M171" s="59"/>
      <c r="N171" s="59"/>
      <c r="O171" s="95"/>
      <c r="P171" s="59"/>
      <c r="Q171" s="59"/>
      <c r="R171" s="59"/>
      <c r="S171" s="59"/>
      <c r="T171" s="59"/>
      <c r="U171" s="98"/>
      <c r="V171" s="99"/>
      <c r="W171" s="98"/>
      <c r="X171" s="99"/>
      <c r="Y171" s="98"/>
      <c r="Z171" s="99"/>
      <c r="AA171" s="59"/>
      <c r="AB171" s="59"/>
      <c r="AC171" s="59"/>
      <c r="AD171" s="59"/>
      <c r="AE171" s="100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 t="s">
        <v>283</v>
      </c>
      <c r="DW171" s="59" t="s">
        <v>284</v>
      </c>
      <c r="DX171" s="59" t="s">
        <v>285</v>
      </c>
      <c r="DY171" s="191" t="s">
        <v>347</v>
      </c>
      <c r="DZ171" s="191" t="s">
        <v>348</v>
      </c>
      <c r="EA171" s="59">
        <f>12.95-10.5</f>
        <v>2.4499999999999993</v>
      </c>
      <c r="EB171" s="59">
        <v>2538</v>
      </c>
      <c r="EC171" s="59" t="s">
        <v>185</v>
      </c>
      <c r="ED171" s="185">
        <v>3.547</v>
      </c>
      <c r="EE171" s="185">
        <v>6.344</v>
      </c>
      <c r="EF171" s="185">
        <v>0.559</v>
      </c>
      <c r="EG171" s="186" t="s">
        <v>300</v>
      </c>
      <c r="EH171" s="102" t="s">
        <v>289</v>
      </c>
      <c r="EI171" s="187">
        <v>2.2</v>
      </c>
      <c r="EJ171" s="187">
        <v>1.45</v>
      </c>
      <c r="EK171" s="184">
        <v>0.018</v>
      </c>
      <c r="EL171" s="185">
        <v>0.854</v>
      </c>
      <c r="EM171" s="187">
        <v>0.06</v>
      </c>
      <c r="EN171" s="187">
        <v>1.7</v>
      </c>
      <c r="EO171" s="103">
        <f t="shared" si="8"/>
        <v>0.25</v>
      </c>
      <c r="EP171" s="59">
        <v>0.15</v>
      </c>
      <c r="EQ171" s="187">
        <v>2</v>
      </c>
      <c r="ER171" s="187">
        <v>2</v>
      </c>
      <c r="ES171" s="104">
        <v>0</v>
      </c>
      <c r="ET171" s="187">
        <v>6</v>
      </c>
      <c r="EU171" s="104">
        <v>0</v>
      </c>
      <c r="EV171" s="187">
        <v>3</v>
      </c>
      <c r="EW171" s="187">
        <v>25</v>
      </c>
      <c r="EX171" s="187">
        <v>25</v>
      </c>
      <c r="EY171" s="104">
        <v>0</v>
      </c>
      <c r="EZ171" s="104">
        <v>0</v>
      </c>
      <c r="FA171" s="104">
        <v>0</v>
      </c>
      <c r="FB171" s="104">
        <v>0</v>
      </c>
      <c r="FC171" s="59"/>
      <c r="FD171" s="59"/>
      <c r="FE171" s="59"/>
      <c r="FF171" s="59"/>
      <c r="FG171" s="59"/>
      <c r="FH171" s="59"/>
      <c r="FI171" s="59"/>
      <c r="FJ171" s="59"/>
      <c r="FK171" s="59"/>
      <c r="FL171" s="59"/>
      <c r="FM171" s="59"/>
      <c r="FN171" s="59"/>
      <c r="FO171" s="59"/>
      <c r="FP171" s="59"/>
      <c r="FQ171" s="59"/>
      <c r="FR171" s="59"/>
      <c r="FS171" s="59"/>
      <c r="FT171" s="59"/>
      <c r="FU171" s="59"/>
      <c r="FV171" s="59"/>
      <c r="FW171" s="59"/>
      <c r="FX171" s="59"/>
      <c r="FY171" s="59"/>
      <c r="FZ171" s="59"/>
      <c r="GA171" s="59"/>
      <c r="GB171" s="59"/>
      <c r="GC171" s="59"/>
      <c r="GD171" s="59"/>
      <c r="GE171" s="59"/>
      <c r="GF171" s="59"/>
      <c r="GG171" s="59"/>
      <c r="GH171" s="59"/>
      <c r="GI171" s="59"/>
      <c r="GJ171" s="59"/>
      <c r="GK171" s="59"/>
      <c r="GL171" s="59"/>
      <c r="GM171" s="59"/>
      <c r="GN171" s="59"/>
      <c r="GO171" s="59"/>
      <c r="GP171" s="59"/>
      <c r="GQ171" s="59"/>
      <c r="GR171" s="59"/>
      <c r="GS171" s="59"/>
      <c r="GT171" s="59"/>
    </row>
    <row r="172" spans="1:202" ht="27" customHeight="1">
      <c r="A172" s="92"/>
      <c r="B172" s="93"/>
      <c r="C172" s="94"/>
      <c r="D172" s="94"/>
      <c r="E172" s="105"/>
      <c r="F172" s="95"/>
      <c r="G172" s="96"/>
      <c r="H172" s="96"/>
      <c r="I172" s="59"/>
      <c r="J172" s="59"/>
      <c r="K172" s="95"/>
      <c r="L172" s="95"/>
      <c r="M172" s="59"/>
      <c r="N172" s="59"/>
      <c r="O172" s="95"/>
      <c r="P172" s="59"/>
      <c r="Q172" s="59"/>
      <c r="R172" s="59"/>
      <c r="S172" s="59"/>
      <c r="T172" s="59"/>
      <c r="U172" s="98"/>
      <c r="V172" s="99"/>
      <c r="W172" s="98"/>
      <c r="X172" s="99"/>
      <c r="Y172" s="98"/>
      <c r="Z172" s="99"/>
      <c r="AA172" s="59"/>
      <c r="AB172" s="59"/>
      <c r="AC172" s="59"/>
      <c r="AD172" s="59"/>
      <c r="AE172" s="100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 t="s">
        <v>283</v>
      </c>
      <c r="DW172" s="59" t="s">
        <v>284</v>
      </c>
      <c r="DX172" s="59" t="s">
        <v>285</v>
      </c>
      <c r="DY172" s="191" t="s">
        <v>348</v>
      </c>
      <c r="DZ172" s="191" t="s">
        <v>349</v>
      </c>
      <c r="EA172" s="59">
        <f>14-12.95</f>
        <v>1.0500000000000007</v>
      </c>
      <c r="EB172" s="59">
        <v>2538</v>
      </c>
      <c r="EC172" s="59" t="s">
        <v>185</v>
      </c>
      <c r="ED172" s="185">
        <v>3.109</v>
      </c>
      <c r="EE172" s="185">
        <v>5.74</v>
      </c>
      <c r="EF172" s="185">
        <v>0.542</v>
      </c>
      <c r="EG172" s="186" t="s">
        <v>300</v>
      </c>
      <c r="EH172" s="102" t="s">
        <v>289</v>
      </c>
      <c r="EI172" s="187">
        <v>2.2</v>
      </c>
      <c r="EJ172" s="187">
        <v>1.4</v>
      </c>
      <c r="EK172" s="184">
        <v>0.018</v>
      </c>
      <c r="EL172" s="185">
        <v>0.814</v>
      </c>
      <c r="EM172" s="187">
        <v>0.06</v>
      </c>
      <c r="EN172" s="187">
        <v>1.65</v>
      </c>
      <c r="EO172" s="103">
        <f t="shared" si="8"/>
        <v>0.25</v>
      </c>
      <c r="EP172" s="59">
        <v>0.15</v>
      </c>
      <c r="EQ172" s="187">
        <v>2</v>
      </c>
      <c r="ER172" s="187">
        <v>2</v>
      </c>
      <c r="ES172" s="104">
        <v>0</v>
      </c>
      <c r="ET172" s="187">
        <v>6</v>
      </c>
      <c r="EU172" s="104">
        <v>0</v>
      </c>
      <c r="EV172" s="187">
        <v>3</v>
      </c>
      <c r="EW172" s="187">
        <v>25</v>
      </c>
      <c r="EX172" s="187">
        <v>25</v>
      </c>
      <c r="EY172" s="104">
        <v>0</v>
      </c>
      <c r="EZ172" s="104">
        <v>0</v>
      </c>
      <c r="FA172" s="104">
        <v>0</v>
      </c>
      <c r="FB172" s="104">
        <v>0</v>
      </c>
      <c r="FC172" s="59"/>
      <c r="FD172" s="59"/>
      <c r="FE172" s="59"/>
      <c r="FF172" s="59"/>
      <c r="FG172" s="59"/>
      <c r="FH172" s="59"/>
      <c r="FI172" s="59"/>
      <c r="FJ172" s="59"/>
      <c r="FK172" s="59"/>
      <c r="FL172" s="59"/>
      <c r="FM172" s="59"/>
      <c r="FN172" s="59"/>
      <c r="FO172" s="59"/>
      <c r="FP172" s="59"/>
      <c r="FQ172" s="59"/>
      <c r="FR172" s="59"/>
      <c r="FS172" s="59"/>
      <c r="FT172" s="59"/>
      <c r="FU172" s="59"/>
      <c r="FV172" s="59"/>
      <c r="FW172" s="59"/>
      <c r="FX172" s="59"/>
      <c r="FY172" s="59"/>
      <c r="FZ172" s="59"/>
      <c r="GA172" s="59"/>
      <c r="GB172" s="59"/>
      <c r="GC172" s="59"/>
      <c r="GD172" s="59"/>
      <c r="GE172" s="59"/>
      <c r="GF172" s="59"/>
      <c r="GG172" s="59"/>
      <c r="GH172" s="59"/>
      <c r="GI172" s="59"/>
      <c r="GJ172" s="59"/>
      <c r="GK172" s="59"/>
      <c r="GL172" s="59"/>
      <c r="GM172" s="59"/>
      <c r="GN172" s="59"/>
      <c r="GO172" s="59"/>
      <c r="GP172" s="59"/>
      <c r="GQ172" s="59"/>
      <c r="GR172" s="59"/>
      <c r="GS172" s="59"/>
      <c r="GT172" s="59"/>
    </row>
    <row r="173" spans="1:202" ht="27" customHeight="1">
      <c r="A173" s="92"/>
      <c r="B173" s="93"/>
      <c r="C173" s="94"/>
      <c r="D173" s="94"/>
      <c r="E173" s="105"/>
      <c r="F173" s="95"/>
      <c r="G173" s="96"/>
      <c r="H173" s="96"/>
      <c r="I173" s="59"/>
      <c r="J173" s="59"/>
      <c r="K173" s="95"/>
      <c r="L173" s="95"/>
      <c r="M173" s="59"/>
      <c r="N173" s="59"/>
      <c r="O173" s="95"/>
      <c r="P173" s="59"/>
      <c r="Q173" s="59"/>
      <c r="R173" s="59"/>
      <c r="S173" s="59"/>
      <c r="T173" s="59"/>
      <c r="U173" s="98"/>
      <c r="V173" s="99"/>
      <c r="W173" s="98"/>
      <c r="X173" s="99"/>
      <c r="Y173" s="98"/>
      <c r="Z173" s="99"/>
      <c r="AA173" s="59"/>
      <c r="AB173" s="59"/>
      <c r="AC173" s="59"/>
      <c r="AD173" s="59"/>
      <c r="AE173" s="100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 t="s">
        <v>283</v>
      </c>
      <c r="DW173" s="59" t="s">
        <v>284</v>
      </c>
      <c r="DX173" s="59" t="s">
        <v>285</v>
      </c>
      <c r="DY173" s="191" t="s">
        <v>349</v>
      </c>
      <c r="DZ173" s="191" t="s">
        <v>350</v>
      </c>
      <c r="EA173" s="59">
        <f>15.8-14</f>
        <v>1.8000000000000007</v>
      </c>
      <c r="EB173" s="59">
        <v>2538</v>
      </c>
      <c r="EC173" s="59" t="s">
        <v>185</v>
      </c>
      <c r="ED173" s="185">
        <v>3.109</v>
      </c>
      <c r="EE173" s="185">
        <v>5.74</v>
      </c>
      <c r="EF173" s="185">
        <v>0.542</v>
      </c>
      <c r="EG173" s="186" t="s">
        <v>300</v>
      </c>
      <c r="EH173" s="102" t="s">
        <v>289</v>
      </c>
      <c r="EI173" s="187">
        <v>2</v>
      </c>
      <c r="EJ173" s="187">
        <v>1.4</v>
      </c>
      <c r="EK173" s="184">
        <v>0.018</v>
      </c>
      <c r="EL173" s="185">
        <v>0.814</v>
      </c>
      <c r="EM173" s="187">
        <v>0.06</v>
      </c>
      <c r="EN173" s="187">
        <v>1.65</v>
      </c>
      <c r="EO173" s="103">
        <f t="shared" si="8"/>
        <v>0.25</v>
      </c>
      <c r="EP173" s="59">
        <v>0.15</v>
      </c>
      <c r="EQ173" s="187">
        <v>2</v>
      </c>
      <c r="ER173" s="187">
        <v>2</v>
      </c>
      <c r="ES173" s="104">
        <v>0</v>
      </c>
      <c r="ET173" s="187">
        <v>6</v>
      </c>
      <c r="EU173" s="104">
        <v>0</v>
      </c>
      <c r="EV173" s="187">
        <v>3</v>
      </c>
      <c r="EW173" s="187">
        <v>25</v>
      </c>
      <c r="EX173" s="187">
        <v>25</v>
      </c>
      <c r="EY173" s="104">
        <v>0</v>
      </c>
      <c r="EZ173" s="104">
        <v>0</v>
      </c>
      <c r="FA173" s="104">
        <v>0</v>
      </c>
      <c r="FB173" s="104">
        <v>0</v>
      </c>
      <c r="FC173" s="59"/>
      <c r="FD173" s="59"/>
      <c r="FE173" s="59"/>
      <c r="FF173" s="59"/>
      <c r="FG173" s="59"/>
      <c r="FH173" s="59"/>
      <c r="FI173" s="59"/>
      <c r="FJ173" s="59"/>
      <c r="FK173" s="59"/>
      <c r="FL173" s="59"/>
      <c r="FM173" s="59"/>
      <c r="FN173" s="59"/>
      <c r="FO173" s="59"/>
      <c r="FP173" s="59"/>
      <c r="FQ173" s="59"/>
      <c r="FR173" s="59"/>
      <c r="FS173" s="59"/>
      <c r="FT173" s="59"/>
      <c r="FU173" s="59"/>
      <c r="FV173" s="59"/>
      <c r="FW173" s="59"/>
      <c r="FX173" s="59"/>
      <c r="FY173" s="59"/>
      <c r="FZ173" s="59"/>
      <c r="GA173" s="59"/>
      <c r="GB173" s="59"/>
      <c r="GC173" s="59"/>
      <c r="GD173" s="59"/>
      <c r="GE173" s="59"/>
      <c r="GF173" s="59"/>
      <c r="GG173" s="59"/>
      <c r="GH173" s="59"/>
      <c r="GI173" s="59"/>
      <c r="GJ173" s="59"/>
      <c r="GK173" s="59"/>
      <c r="GL173" s="59"/>
      <c r="GM173" s="59"/>
      <c r="GN173" s="59"/>
      <c r="GO173" s="59"/>
      <c r="GP173" s="59"/>
      <c r="GQ173" s="59"/>
      <c r="GR173" s="59"/>
      <c r="GS173" s="59"/>
      <c r="GT173" s="59"/>
    </row>
    <row r="174" spans="1:202" ht="27" customHeight="1">
      <c r="A174" s="92"/>
      <c r="B174" s="93"/>
      <c r="C174" s="94"/>
      <c r="D174" s="94"/>
      <c r="E174" s="105"/>
      <c r="F174" s="95"/>
      <c r="G174" s="96"/>
      <c r="H174" s="96"/>
      <c r="I174" s="59"/>
      <c r="J174" s="59"/>
      <c r="K174" s="95"/>
      <c r="L174" s="95"/>
      <c r="M174" s="59"/>
      <c r="N174" s="59"/>
      <c r="O174" s="95"/>
      <c r="P174" s="59"/>
      <c r="Q174" s="59"/>
      <c r="R174" s="59"/>
      <c r="S174" s="59"/>
      <c r="T174" s="59"/>
      <c r="U174" s="98"/>
      <c r="V174" s="99"/>
      <c r="W174" s="98"/>
      <c r="X174" s="99"/>
      <c r="Y174" s="98"/>
      <c r="Z174" s="99"/>
      <c r="AA174" s="59"/>
      <c r="AB174" s="59"/>
      <c r="AC174" s="59"/>
      <c r="AD174" s="59"/>
      <c r="AE174" s="100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 t="s">
        <v>283</v>
      </c>
      <c r="DW174" s="59" t="s">
        <v>284</v>
      </c>
      <c r="DX174" s="59" t="s">
        <v>285</v>
      </c>
      <c r="DY174" s="191" t="s">
        <v>350</v>
      </c>
      <c r="DZ174" s="191" t="s">
        <v>351</v>
      </c>
      <c r="EA174" s="59">
        <f>16.96-15.8</f>
        <v>1.1600000000000001</v>
      </c>
      <c r="EB174" s="59">
        <v>2538</v>
      </c>
      <c r="EC174" s="59" t="s">
        <v>185</v>
      </c>
      <c r="ED174" s="185">
        <v>1.976</v>
      </c>
      <c r="EE174" s="185">
        <v>4.08</v>
      </c>
      <c r="EF174" s="185">
        <v>0.484</v>
      </c>
      <c r="EG174" s="186" t="s">
        <v>300</v>
      </c>
      <c r="EH174" s="102" t="s">
        <v>289</v>
      </c>
      <c r="EI174" s="187">
        <v>1.6</v>
      </c>
      <c r="EJ174" s="187">
        <v>1.2</v>
      </c>
      <c r="EK174" s="184">
        <v>0.018</v>
      </c>
      <c r="EL174" s="185">
        <v>0.688</v>
      </c>
      <c r="EM174" s="187">
        <v>0.06</v>
      </c>
      <c r="EN174" s="187">
        <v>1.4</v>
      </c>
      <c r="EO174" s="103">
        <f t="shared" si="8"/>
        <v>0.19999999999999996</v>
      </c>
      <c r="EP174" s="59">
        <v>0.15</v>
      </c>
      <c r="EQ174" s="187">
        <v>1</v>
      </c>
      <c r="ER174" s="187">
        <v>1</v>
      </c>
      <c r="ES174" s="104">
        <v>0</v>
      </c>
      <c r="ET174" s="187">
        <v>6</v>
      </c>
      <c r="EU174" s="104">
        <v>0</v>
      </c>
      <c r="EV174" s="187">
        <v>3</v>
      </c>
      <c r="EW174" s="187">
        <v>25</v>
      </c>
      <c r="EX174" s="187">
        <v>25</v>
      </c>
      <c r="EY174" s="104">
        <v>0</v>
      </c>
      <c r="EZ174" s="104">
        <v>0</v>
      </c>
      <c r="FA174" s="104">
        <v>0</v>
      </c>
      <c r="FB174" s="104">
        <v>0</v>
      </c>
      <c r="FC174" s="59"/>
      <c r="FD174" s="59"/>
      <c r="FE174" s="59"/>
      <c r="FF174" s="59"/>
      <c r="FG174" s="59"/>
      <c r="FH174" s="59"/>
      <c r="FI174" s="59"/>
      <c r="FJ174" s="59"/>
      <c r="FK174" s="59"/>
      <c r="FL174" s="59"/>
      <c r="FM174" s="59"/>
      <c r="FN174" s="59"/>
      <c r="FO174" s="59"/>
      <c r="FP174" s="59"/>
      <c r="FQ174" s="59"/>
      <c r="FR174" s="59"/>
      <c r="FS174" s="59"/>
      <c r="FT174" s="59"/>
      <c r="FU174" s="59"/>
      <c r="FV174" s="59"/>
      <c r="FW174" s="59"/>
      <c r="FX174" s="59"/>
      <c r="FY174" s="59"/>
      <c r="FZ174" s="59"/>
      <c r="GA174" s="59"/>
      <c r="GB174" s="59"/>
      <c r="GC174" s="59"/>
      <c r="GD174" s="59"/>
      <c r="GE174" s="59"/>
      <c r="GF174" s="59"/>
      <c r="GG174" s="59"/>
      <c r="GH174" s="59"/>
      <c r="GI174" s="59"/>
      <c r="GJ174" s="59"/>
      <c r="GK174" s="59"/>
      <c r="GL174" s="59"/>
      <c r="GM174" s="59"/>
      <c r="GN174" s="59"/>
      <c r="GO174" s="59"/>
      <c r="GP174" s="59"/>
      <c r="GQ174" s="59"/>
      <c r="GR174" s="59"/>
      <c r="GS174" s="59"/>
      <c r="GT174" s="59"/>
    </row>
    <row r="175" spans="1:202" ht="27" customHeight="1">
      <c r="A175" s="92"/>
      <c r="B175" s="93"/>
      <c r="C175" s="94"/>
      <c r="D175" s="94"/>
      <c r="E175" s="105"/>
      <c r="F175" s="95"/>
      <c r="G175" s="96"/>
      <c r="H175" s="96"/>
      <c r="I175" s="59"/>
      <c r="J175" s="59"/>
      <c r="K175" s="95"/>
      <c r="L175" s="95"/>
      <c r="M175" s="59"/>
      <c r="N175" s="59"/>
      <c r="O175" s="95"/>
      <c r="P175" s="59"/>
      <c r="Q175" s="59"/>
      <c r="R175" s="59"/>
      <c r="S175" s="59"/>
      <c r="T175" s="59"/>
      <c r="U175" s="98"/>
      <c r="V175" s="99"/>
      <c r="W175" s="98"/>
      <c r="X175" s="99"/>
      <c r="Y175" s="98"/>
      <c r="Z175" s="99"/>
      <c r="AA175" s="59"/>
      <c r="AB175" s="59"/>
      <c r="AC175" s="59"/>
      <c r="AD175" s="59"/>
      <c r="AE175" s="100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 t="s">
        <v>283</v>
      </c>
      <c r="DW175" s="59" t="s">
        <v>284</v>
      </c>
      <c r="DX175" s="59" t="s">
        <v>285</v>
      </c>
      <c r="DY175" s="191" t="s">
        <v>351</v>
      </c>
      <c r="DZ175" s="191" t="s">
        <v>352</v>
      </c>
      <c r="EA175" s="59">
        <f>17.37-16.96</f>
        <v>0.41000000000000014</v>
      </c>
      <c r="EB175" s="59">
        <v>2538</v>
      </c>
      <c r="EC175" s="59" t="s">
        <v>185</v>
      </c>
      <c r="ED175" s="184">
        <v>1.324</v>
      </c>
      <c r="EE175" s="184">
        <v>3.019</v>
      </c>
      <c r="EF175" s="184">
        <v>0.439</v>
      </c>
      <c r="EG175" s="186" t="s">
        <v>300</v>
      </c>
      <c r="EH175" s="102" t="s">
        <v>289</v>
      </c>
      <c r="EI175" s="187">
        <v>1.3</v>
      </c>
      <c r="EJ175" s="184">
        <v>1.05</v>
      </c>
      <c r="EK175" s="184">
        <v>0.018</v>
      </c>
      <c r="EL175" s="184">
        <v>0.594</v>
      </c>
      <c r="EM175" s="184">
        <v>0.06</v>
      </c>
      <c r="EN175" s="187">
        <v>1.25</v>
      </c>
      <c r="EO175" s="103">
        <f t="shared" si="8"/>
        <v>0.19999999999999996</v>
      </c>
      <c r="EP175" s="59">
        <v>0.15</v>
      </c>
      <c r="EQ175" s="187">
        <v>1</v>
      </c>
      <c r="ER175" s="187">
        <v>1</v>
      </c>
      <c r="ES175" s="104">
        <v>0</v>
      </c>
      <c r="ET175" s="187">
        <v>6</v>
      </c>
      <c r="EU175" s="104">
        <v>0</v>
      </c>
      <c r="EV175" s="187">
        <v>3</v>
      </c>
      <c r="EW175" s="187">
        <v>25</v>
      </c>
      <c r="EX175" s="187">
        <v>25</v>
      </c>
      <c r="EY175" s="104">
        <v>0</v>
      </c>
      <c r="EZ175" s="104">
        <v>0</v>
      </c>
      <c r="FA175" s="104">
        <v>0</v>
      </c>
      <c r="FB175" s="104">
        <v>0</v>
      </c>
      <c r="FC175" s="59"/>
      <c r="FD175" s="59"/>
      <c r="FE175" s="59"/>
      <c r="FF175" s="59"/>
      <c r="FG175" s="59"/>
      <c r="FH175" s="59"/>
      <c r="FI175" s="59"/>
      <c r="FJ175" s="59"/>
      <c r="FK175" s="59"/>
      <c r="FL175" s="59"/>
      <c r="FM175" s="59"/>
      <c r="FN175" s="59"/>
      <c r="FO175" s="59"/>
      <c r="FP175" s="59"/>
      <c r="FQ175" s="59"/>
      <c r="FR175" s="59"/>
      <c r="FS175" s="59"/>
      <c r="FT175" s="59"/>
      <c r="FU175" s="59"/>
      <c r="FV175" s="59"/>
      <c r="FW175" s="59"/>
      <c r="FX175" s="59"/>
      <c r="FY175" s="59"/>
      <c r="FZ175" s="59"/>
      <c r="GA175" s="59"/>
      <c r="GB175" s="59"/>
      <c r="GC175" s="59"/>
      <c r="GD175" s="59"/>
      <c r="GE175" s="59"/>
      <c r="GF175" s="59"/>
      <c r="GG175" s="59"/>
      <c r="GH175" s="59"/>
      <c r="GI175" s="59"/>
      <c r="GJ175" s="59"/>
      <c r="GK175" s="59"/>
      <c r="GL175" s="59"/>
      <c r="GM175" s="59"/>
      <c r="GN175" s="59"/>
      <c r="GO175" s="59"/>
      <c r="GP175" s="59"/>
      <c r="GQ175" s="59"/>
      <c r="GR175" s="59"/>
      <c r="GS175" s="59"/>
      <c r="GT175" s="59"/>
    </row>
    <row r="176" spans="1:202" ht="27" customHeight="1">
      <c r="A176" s="92"/>
      <c r="B176" s="93"/>
      <c r="C176" s="94"/>
      <c r="D176" s="94"/>
      <c r="E176" s="105"/>
      <c r="F176" s="95"/>
      <c r="G176" s="96"/>
      <c r="H176" s="96"/>
      <c r="I176" s="59"/>
      <c r="J176" s="59"/>
      <c r="K176" s="95"/>
      <c r="L176" s="95"/>
      <c r="M176" s="59"/>
      <c r="N176" s="59"/>
      <c r="O176" s="95"/>
      <c r="P176" s="59"/>
      <c r="Q176" s="59"/>
      <c r="R176" s="59"/>
      <c r="S176" s="59"/>
      <c r="T176" s="59"/>
      <c r="U176" s="98"/>
      <c r="V176" s="99"/>
      <c r="W176" s="98"/>
      <c r="X176" s="99"/>
      <c r="Y176" s="98"/>
      <c r="Z176" s="99"/>
      <c r="AA176" s="59"/>
      <c r="AB176" s="59"/>
      <c r="AC176" s="59"/>
      <c r="AD176" s="59"/>
      <c r="AE176" s="100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 t="s">
        <v>283</v>
      </c>
      <c r="DW176" s="59" t="s">
        <v>284</v>
      </c>
      <c r="DX176" s="59" t="s">
        <v>285</v>
      </c>
      <c r="DY176" s="191" t="s">
        <v>352</v>
      </c>
      <c r="DZ176" s="191" t="s">
        <v>353</v>
      </c>
      <c r="EA176" s="59">
        <f>17.5-17.37</f>
        <v>0.129999999999999</v>
      </c>
      <c r="EB176" s="59">
        <v>2538</v>
      </c>
      <c r="EC176" s="59" t="s">
        <v>185</v>
      </c>
      <c r="ED176" s="184">
        <v>1.324</v>
      </c>
      <c r="EE176" s="184">
        <v>3.019</v>
      </c>
      <c r="EF176" s="184">
        <v>0.439</v>
      </c>
      <c r="EG176" s="186" t="s">
        <v>300</v>
      </c>
      <c r="EH176" s="102" t="s">
        <v>289</v>
      </c>
      <c r="EI176" s="187">
        <v>1.3</v>
      </c>
      <c r="EJ176" s="184">
        <v>1.05</v>
      </c>
      <c r="EK176" s="184">
        <v>0.018</v>
      </c>
      <c r="EL176" s="184">
        <v>0.594</v>
      </c>
      <c r="EM176" s="184">
        <v>0.06</v>
      </c>
      <c r="EN176" s="187">
        <v>1.25</v>
      </c>
      <c r="EO176" s="103">
        <f t="shared" si="8"/>
        <v>0.19999999999999996</v>
      </c>
      <c r="EP176" s="59">
        <v>0.15</v>
      </c>
      <c r="EQ176" s="187">
        <v>1</v>
      </c>
      <c r="ER176" s="187">
        <v>1</v>
      </c>
      <c r="ES176" s="104">
        <v>0</v>
      </c>
      <c r="ET176" s="187">
        <v>6</v>
      </c>
      <c r="EU176" s="104">
        <v>0</v>
      </c>
      <c r="EV176" s="187">
        <v>3</v>
      </c>
      <c r="EW176" s="187">
        <v>25</v>
      </c>
      <c r="EX176" s="187">
        <v>25</v>
      </c>
      <c r="EY176" s="104">
        <v>0</v>
      </c>
      <c r="EZ176" s="104">
        <v>0</v>
      </c>
      <c r="FA176" s="104">
        <v>0</v>
      </c>
      <c r="FB176" s="104">
        <v>0</v>
      </c>
      <c r="FC176" s="59"/>
      <c r="FD176" s="59"/>
      <c r="FE176" s="59"/>
      <c r="FF176" s="59"/>
      <c r="FG176" s="59"/>
      <c r="FH176" s="59"/>
      <c r="FI176" s="59"/>
      <c r="FJ176" s="59"/>
      <c r="FK176" s="59"/>
      <c r="FL176" s="59"/>
      <c r="FM176" s="59"/>
      <c r="FN176" s="59"/>
      <c r="FO176" s="59"/>
      <c r="FP176" s="59"/>
      <c r="FQ176" s="59"/>
      <c r="FR176" s="59"/>
      <c r="FS176" s="59"/>
      <c r="FT176" s="59"/>
      <c r="FU176" s="59"/>
      <c r="FV176" s="59"/>
      <c r="FW176" s="59"/>
      <c r="FX176" s="59"/>
      <c r="FY176" s="59"/>
      <c r="FZ176" s="59"/>
      <c r="GA176" s="59"/>
      <c r="GB176" s="59"/>
      <c r="GC176" s="59"/>
      <c r="GD176" s="59"/>
      <c r="GE176" s="59"/>
      <c r="GF176" s="59"/>
      <c r="GG176" s="59"/>
      <c r="GH176" s="59"/>
      <c r="GI176" s="59"/>
      <c r="GJ176" s="59"/>
      <c r="GK176" s="59"/>
      <c r="GL176" s="59"/>
      <c r="GM176" s="59"/>
      <c r="GN176" s="59"/>
      <c r="GO176" s="59"/>
      <c r="GP176" s="59"/>
      <c r="GQ176" s="59"/>
      <c r="GR176" s="59"/>
      <c r="GS176" s="59"/>
      <c r="GT176" s="59"/>
    </row>
    <row r="177" spans="1:202" ht="27" customHeight="1">
      <c r="A177" s="92"/>
      <c r="B177" s="93"/>
      <c r="C177" s="94"/>
      <c r="D177" s="94"/>
      <c r="E177" s="105"/>
      <c r="F177" s="95"/>
      <c r="G177" s="96"/>
      <c r="H177" s="96"/>
      <c r="I177" s="59"/>
      <c r="J177" s="59"/>
      <c r="K177" s="95"/>
      <c r="L177" s="95"/>
      <c r="M177" s="59"/>
      <c r="N177" s="59"/>
      <c r="O177" s="95"/>
      <c r="P177" s="59"/>
      <c r="Q177" s="59"/>
      <c r="R177" s="59"/>
      <c r="S177" s="59"/>
      <c r="T177" s="59"/>
      <c r="U177" s="98"/>
      <c r="V177" s="99"/>
      <c r="W177" s="98"/>
      <c r="X177" s="99"/>
      <c r="Y177" s="98"/>
      <c r="Z177" s="99"/>
      <c r="AA177" s="59"/>
      <c r="AB177" s="59"/>
      <c r="AC177" s="59"/>
      <c r="AD177" s="59"/>
      <c r="AE177" s="100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 t="s">
        <v>283</v>
      </c>
      <c r="DW177" s="59" t="s">
        <v>284</v>
      </c>
      <c r="DX177" s="59" t="s">
        <v>285</v>
      </c>
      <c r="DY177" s="184" t="s">
        <v>353</v>
      </c>
      <c r="DZ177" s="184" t="s">
        <v>354</v>
      </c>
      <c r="EA177" s="59">
        <f>17.85-17.5</f>
        <v>0.3500000000000014</v>
      </c>
      <c r="EB177" s="59">
        <v>2538</v>
      </c>
      <c r="EC177" s="59" t="s">
        <v>185</v>
      </c>
      <c r="ED177" s="185">
        <v>1.324</v>
      </c>
      <c r="EE177" s="185">
        <v>3.019</v>
      </c>
      <c r="EF177" s="185">
        <v>0.439</v>
      </c>
      <c r="EG177" s="186" t="s">
        <v>300</v>
      </c>
      <c r="EH177" s="102" t="s">
        <v>289</v>
      </c>
      <c r="EI177" s="187">
        <v>1.3</v>
      </c>
      <c r="EJ177" s="187">
        <v>1.05</v>
      </c>
      <c r="EK177" s="185">
        <v>0.018</v>
      </c>
      <c r="EL177" s="185">
        <v>0.594</v>
      </c>
      <c r="EM177" s="184">
        <v>0.06</v>
      </c>
      <c r="EN177" s="187">
        <v>1.25</v>
      </c>
      <c r="EO177" s="103">
        <f t="shared" si="8"/>
        <v>0.19999999999999996</v>
      </c>
      <c r="EP177" s="59">
        <v>0.15</v>
      </c>
      <c r="EQ177" s="187">
        <v>1</v>
      </c>
      <c r="ER177" s="187">
        <v>1</v>
      </c>
      <c r="ES177" s="104">
        <v>0</v>
      </c>
      <c r="ET177" s="187">
        <v>6</v>
      </c>
      <c r="EU177" s="104">
        <v>0</v>
      </c>
      <c r="EV177" s="187">
        <v>3</v>
      </c>
      <c r="EW177" s="187">
        <v>25</v>
      </c>
      <c r="EX177" s="187">
        <v>25</v>
      </c>
      <c r="EY177" s="104">
        <v>0</v>
      </c>
      <c r="EZ177" s="104">
        <v>0</v>
      </c>
      <c r="FA177" s="104">
        <v>0</v>
      </c>
      <c r="FB177" s="104">
        <v>0</v>
      </c>
      <c r="FC177" s="59"/>
      <c r="FD177" s="59"/>
      <c r="FE177" s="59"/>
      <c r="FF177" s="59"/>
      <c r="FG177" s="59"/>
      <c r="FH177" s="59"/>
      <c r="FI177" s="59"/>
      <c r="FJ177" s="59"/>
      <c r="FK177" s="59"/>
      <c r="FL177" s="59"/>
      <c r="FM177" s="59"/>
      <c r="FN177" s="59"/>
      <c r="FO177" s="59"/>
      <c r="FP177" s="59"/>
      <c r="FQ177" s="59"/>
      <c r="FR177" s="59"/>
      <c r="FS177" s="59"/>
      <c r="FT177" s="59"/>
      <c r="FU177" s="59"/>
      <c r="FV177" s="59"/>
      <c r="FW177" s="59"/>
      <c r="FX177" s="59"/>
      <c r="FY177" s="59"/>
      <c r="FZ177" s="59"/>
      <c r="GA177" s="59"/>
      <c r="GB177" s="59"/>
      <c r="GC177" s="59"/>
      <c r="GD177" s="59"/>
      <c r="GE177" s="59"/>
      <c r="GF177" s="59"/>
      <c r="GG177" s="59"/>
      <c r="GH177" s="59"/>
      <c r="GI177" s="59"/>
      <c r="GJ177" s="59"/>
      <c r="GK177" s="59"/>
      <c r="GL177" s="59"/>
      <c r="GM177" s="59"/>
      <c r="GN177" s="59"/>
      <c r="GO177" s="59"/>
      <c r="GP177" s="59"/>
      <c r="GQ177" s="59"/>
      <c r="GR177" s="59"/>
      <c r="GS177" s="59"/>
      <c r="GT177" s="59"/>
    </row>
    <row r="178" spans="1:202" ht="27" customHeight="1">
      <c r="A178" s="92"/>
      <c r="B178" s="93"/>
      <c r="C178" s="94"/>
      <c r="D178" s="94"/>
      <c r="E178" s="105"/>
      <c r="F178" s="95"/>
      <c r="G178" s="96"/>
      <c r="H178" s="96"/>
      <c r="I178" s="59"/>
      <c r="J178" s="59"/>
      <c r="K178" s="95"/>
      <c r="L178" s="95"/>
      <c r="M178" s="59"/>
      <c r="N178" s="59"/>
      <c r="O178" s="95"/>
      <c r="P178" s="59"/>
      <c r="Q178" s="59"/>
      <c r="R178" s="59"/>
      <c r="S178" s="59"/>
      <c r="T178" s="59"/>
      <c r="U178" s="98"/>
      <c r="V178" s="99"/>
      <c r="W178" s="98"/>
      <c r="X178" s="99"/>
      <c r="Y178" s="98"/>
      <c r="Z178" s="99"/>
      <c r="AA178" s="59"/>
      <c r="AB178" s="59"/>
      <c r="AC178" s="59"/>
      <c r="AD178" s="59"/>
      <c r="AE178" s="100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 t="s">
        <v>283</v>
      </c>
      <c r="DW178" s="59" t="s">
        <v>284</v>
      </c>
      <c r="DX178" s="59" t="s">
        <v>285</v>
      </c>
      <c r="DY178" s="184" t="s">
        <v>354</v>
      </c>
      <c r="DZ178" s="184" t="s">
        <v>355</v>
      </c>
      <c r="EA178" s="59">
        <f>18.679-17.85</f>
        <v>0.8289999999999971</v>
      </c>
      <c r="EB178" s="59">
        <v>2538</v>
      </c>
      <c r="EC178" s="59" t="s">
        <v>185</v>
      </c>
      <c r="ED178" s="185">
        <v>0.732</v>
      </c>
      <c r="EE178" s="185">
        <v>1.934</v>
      </c>
      <c r="EF178" s="185">
        <v>0.379</v>
      </c>
      <c r="EG178" s="186" t="s">
        <v>300</v>
      </c>
      <c r="EH178" s="102" t="s">
        <v>289</v>
      </c>
      <c r="EI178" s="187">
        <v>1</v>
      </c>
      <c r="EJ178" s="187">
        <v>0.85</v>
      </c>
      <c r="EK178" s="185">
        <v>0.018</v>
      </c>
      <c r="EL178" s="185">
        <v>0.476</v>
      </c>
      <c r="EM178" s="184">
        <v>0.06</v>
      </c>
      <c r="EN178" s="187">
        <v>1</v>
      </c>
      <c r="EO178" s="103">
        <f t="shared" si="8"/>
        <v>0.15000000000000002</v>
      </c>
      <c r="EP178" s="59">
        <v>0.15</v>
      </c>
      <c r="EQ178" s="187">
        <v>1</v>
      </c>
      <c r="ER178" s="187">
        <v>1</v>
      </c>
      <c r="ES178" s="104">
        <v>0</v>
      </c>
      <c r="ET178" s="187">
        <v>6</v>
      </c>
      <c r="EU178" s="104">
        <v>0</v>
      </c>
      <c r="EV178" s="187">
        <v>3</v>
      </c>
      <c r="EW178" s="187">
        <v>25</v>
      </c>
      <c r="EX178" s="187">
        <v>25</v>
      </c>
      <c r="EY178" s="104">
        <v>0</v>
      </c>
      <c r="EZ178" s="104">
        <v>0</v>
      </c>
      <c r="FA178" s="104">
        <v>0</v>
      </c>
      <c r="FB178" s="104">
        <v>0</v>
      </c>
      <c r="FC178" s="59"/>
      <c r="FD178" s="59"/>
      <c r="FE178" s="59"/>
      <c r="FF178" s="59"/>
      <c r="FG178" s="59"/>
      <c r="FH178" s="59"/>
      <c r="FI178" s="59"/>
      <c r="FJ178" s="59"/>
      <c r="FK178" s="59"/>
      <c r="FL178" s="59"/>
      <c r="FM178" s="59"/>
      <c r="FN178" s="59"/>
      <c r="FO178" s="59"/>
      <c r="FP178" s="59"/>
      <c r="FQ178" s="59"/>
      <c r="FR178" s="59"/>
      <c r="FS178" s="59"/>
      <c r="FT178" s="59"/>
      <c r="FU178" s="59"/>
      <c r="FV178" s="59"/>
      <c r="FW178" s="59"/>
      <c r="FX178" s="59"/>
      <c r="FY178" s="59"/>
      <c r="FZ178" s="59"/>
      <c r="GA178" s="59"/>
      <c r="GB178" s="59"/>
      <c r="GC178" s="59"/>
      <c r="GD178" s="59"/>
      <c r="GE178" s="59"/>
      <c r="GF178" s="59"/>
      <c r="GG178" s="59"/>
      <c r="GH178" s="59"/>
      <c r="GI178" s="59"/>
      <c r="GJ178" s="59"/>
      <c r="GK178" s="59"/>
      <c r="GL178" s="59"/>
      <c r="GM178" s="59"/>
      <c r="GN178" s="59"/>
      <c r="GO178" s="59"/>
      <c r="GP178" s="59"/>
      <c r="GQ178" s="59"/>
      <c r="GR178" s="59"/>
      <c r="GS178" s="59"/>
      <c r="GT178" s="59"/>
    </row>
    <row r="179" spans="1:202" ht="27" customHeight="1">
      <c r="A179" s="92"/>
      <c r="B179" s="93"/>
      <c r="C179" s="94"/>
      <c r="D179" s="94"/>
      <c r="E179" s="105"/>
      <c r="F179" s="95"/>
      <c r="G179" s="96"/>
      <c r="H179" s="96"/>
      <c r="I179" s="59"/>
      <c r="J179" s="59"/>
      <c r="K179" s="95"/>
      <c r="L179" s="95"/>
      <c r="M179" s="59"/>
      <c r="N179" s="59"/>
      <c r="O179" s="95"/>
      <c r="P179" s="59"/>
      <c r="Q179" s="59"/>
      <c r="R179" s="59"/>
      <c r="S179" s="59"/>
      <c r="T179" s="59"/>
      <c r="U179" s="98"/>
      <c r="V179" s="99"/>
      <c r="W179" s="98"/>
      <c r="X179" s="99"/>
      <c r="Y179" s="98"/>
      <c r="Z179" s="99"/>
      <c r="AA179" s="59"/>
      <c r="AB179" s="59"/>
      <c r="AC179" s="59"/>
      <c r="AD179" s="59"/>
      <c r="AE179" s="100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 t="s">
        <v>283</v>
      </c>
      <c r="DW179" s="59" t="s">
        <v>284</v>
      </c>
      <c r="DX179" s="59" t="s">
        <v>285</v>
      </c>
      <c r="DY179" s="184" t="s">
        <v>355</v>
      </c>
      <c r="DZ179" s="184" t="s">
        <v>356</v>
      </c>
      <c r="EA179" s="59">
        <f>19.97-18.679</f>
        <v>1.2910000000000004</v>
      </c>
      <c r="EB179" s="59">
        <v>2538</v>
      </c>
      <c r="EC179" s="59" t="s">
        <v>185</v>
      </c>
      <c r="ED179" s="185">
        <v>0.691</v>
      </c>
      <c r="EE179" s="185">
        <v>1.848</v>
      </c>
      <c r="EF179" s="185">
        <v>0.374</v>
      </c>
      <c r="EG179" s="186" t="s">
        <v>300</v>
      </c>
      <c r="EH179" s="102" t="s">
        <v>289</v>
      </c>
      <c r="EI179" s="187">
        <v>0.9</v>
      </c>
      <c r="EJ179" s="187">
        <v>0.85</v>
      </c>
      <c r="EK179" s="185">
        <v>0.018</v>
      </c>
      <c r="EL179" s="185">
        <v>0.466</v>
      </c>
      <c r="EM179" s="187">
        <v>0.06</v>
      </c>
      <c r="EN179" s="187">
        <v>1</v>
      </c>
      <c r="EO179" s="103">
        <f t="shared" si="8"/>
        <v>0.15000000000000002</v>
      </c>
      <c r="EP179" s="59">
        <v>0.15</v>
      </c>
      <c r="EQ179" s="187">
        <v>1</v>
      </c>
      <c r="ER179" s="187">
        <v>1</v>
      </c>
      <c r="ES179" s="104">
        <v>0</v>
      </c>
      <c r="ET179" s="187">
        <v>6</v>
      </c>
      <c r="EU179" s="104">
        <v>0</v>
      </c>
      <c r="EV179" s="187">
        <v>3</v>
      </c>
      <c r="EW179" s="187">
        <v>25</v>
      </c>
      <c r="EX179" s="187">
        <v>25</v>
      </c>
      <c r="EY179" s="104">
        <v>0</v>
      </c>
      <c r="EZ179" s="104">
        <v>0</v>
      </c>
      <c r="FA179" s="104">
        <v>0</v>
      </c>
      <c r="FB179" s="104">
        <v>0</v>
      </c>
      <c r="FC179" s="59"/>
      <c r="FD179" s="59"/>
      <c r="FE179" s="59"/>
      <c r="FF179" s="59"/>
      <c r="FG179" s="59"/>
      <c r="FH179" s="59"/>
      <c r="FI179" s="59"/>
      <c r="FJ179" s="59"/>
      <c r="FK179" s="59"/>
      <c r="FL179" s="59"/>
      <c r="FM179" s="59"/>
      <c r="FN179" s="59"/>
      <c r="FO179" s="59"/>
      <c r="FP179" s="59"/>
      <c r="FQ179" s="59"/>
      <c r="FR179" s="59"/>
      <c r="FS179" s="59"/>
      <c r="FT179" s="59"/>
      <c r="FU179" s="59"/>
      <c r="FV179" s="59"/>
      <c r="FW179" s="59"/>
      <c r="FX179" s="59"/>
      <c r="FY179" s="59"/>
      <c r="FZ179" s="59"/>
      <c r="GA179" s="59"/>
      <c r="GB179" s="59"/>
      <c r="GC179" s="59"/>
      <c r="GD179" s="59"/>
      <c r="GE179" s="59"/>
      <c r="GF179" s="59"/>
      <c r="GG179" s="59"/>
      <c r="GH179" s="59"/>
      <c r="GI179" s="59"/>
      <c r="GJ179" s="59"/>
      <c r="GK179" s="59"/>
      <c r="GL179" s="59"/>
      <c r="GM179" s="59"/>
      <c r="GN179" s="59"/>
      <c r="GO179" s="59"/>
      <c r="GP179" s="59"/>
      <c r="GQ179" s="59"/>
      <c r="GR179" s="59"/>
      <c r="GS179" s="59"/>
      <c r="GT179" s="59"/>
    </row>
    <row r="180" spans="1:202" ht="27" customHeight="1">
      <c r="A180" s="92"/>
      <c r="B180" s="93"/>
      <c r="C180" s="94"/>
      <c r="D180" s="94"/>
      <c r="E180" s="105"/>
      <c r="F180" s="95"/>
      <c r="G180" s="96"/>
      <c r="H180" s="96"/>
      <c r="I180" s="59"/>
      <c r="J180" s="59"/>
      <c r="K180" s="95"/>
      <c r="L180" s="95"/>
      <c r="M180" s="59"/>
      <c r="N180" s="59"/>
      <c r="O180" s="95"/>
      <c r="P180" s="59"/>
      <c r="Q180" s="59"/>
      <c r="R180" s="59"/>
      <c r="S180" s="59"/>
      <c r="T180" s="59"/>
      <c r="U180" s="98"/>
      <c r="V180" s="99"/>
      <c r="W180" s="98"/>
      <c r="X180" s="99"/>
      <c r="Y180" s="98"/>
      <c r="Z180" s="99"/>
      <c r="AA180" s="59"/>
      <c r="AB180" s="59"/>
      <c r="AC180" s="59"/>
      <c r="AD180" s="59"/>
      <c r="AE180" s="100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 t="s">
        <v>379</v>
      </c>
      <c r="DW180" s="59" t="s">
        <v>284</v>
      </c>
      <c r="DX180" s="59" t="s">
        <v>285</v>
      </c>
      <c r="DY180" s="184" t="s">
        <v>357</v>
      </c>
      <c r="DZ180" s="184" t="s">
        <v>358</v>
      </c>
      <c r="EA180" s="59">
        <f>2.6-0</f>
        <v>2.6</v>
      </c>
      <c r="EB180" s="59">
        <v>2538</v>
      </c>
      <c r="EC180" s="59" t="s">
        <v>185</v>
      </c>
      <c r="ED180" s="185">
        <v>0.497</v>
      </c>
      <c r="EE180" s="185">
        <v>1.444</v>
      </c>
      <c r="EF180" s="185">
        <v>0.344</v>
      </c>
      <c r="EG180" s="186" t="s">
        <v>300</v>
      </c>
      <c r="EH180" s="102" t="s">
        <v>289</v>
      </c>
      <c r="EI180" s="187">
        <v>0.8</v>
      </c>
      <c r="EJ180" s="187">
        <v>0.75</v>
      </c>
      <c r="EK180" s="185">
        <v>0.018</v>
      </c>
      <c r="EL180" s="185">
        <v>0.412</v>
      </c>
      <c r="EM180" s="187">
        <v>0.06</v>
      </c>
      <c r="EN180" s="187">
        <v>0.9</v>
      </c>
      <c r="EO180" s="103">
        <f t="shared" si="8"/>
        <v>0.15000000000000002</v>
      </c>
      <c r="EP180" s="59">
        <v>0.15</v>
      </c>
      <c r="EQ180" s="187" t="s">
        <v>185</v>
      </c>
      <c r="ER180" s="187" t="s">
        <v>185</v>
      </c>
      <c r="ES180" s="104">
        <v>0</v>
      </c>
      <c r="ET180" s="187">
        <v>5</v>
      </c>
      <c r="EU180" s="104">
        <v>0</v>
      </c>
      <c r="EV180" s="187">
        <v>2</v>
      </c>
      <c r="EW180" s="187">
        <v>20</v>
      </c>
      <c r="EX180" s="187">
        <v>15</v>
      </c>
      <c r="EY180" s="104">
        <v>0</v>
      </c>
      <c r="EZ180" s="104">
        <v>0</v>
      </c>
      <c r="FA180" s="104">
        <v>0</v>
      </c>
      <c r="FB180" s="104">
        <v>0</v>
      </c>
      <c r="FC180" s="59"/>
      <c r="FD180" s="59"/>
      <c r="FE180" s="59"/>
      <c r="FF180" s="59"/>
      <c r="FG180" s="59"/>
      <c r="FH180" s="59"/>
      <c r="FI180" s="59"/>
      <c r="FJ180" s="59"/>
      <c r="FK180" s="59"/>
      <c r="FL180" s="59"/>
      <c r="FM180" s="59"/>
      <c r="FN180" s="59"/>
      <c r="FO180" s="59"/>
      <c r="FP180" s="59"/>
      <c r="FQ180" s="59"/>
      <c r="FR180" s="59"/>
      <c r="FS180" s="59"/>
      <c r="FT180" s="59"/>
      <c r="FU180" s="59"/>
      <c r="FV180" s="59"/>
      <c r="FW180" s="59"/>
      <c r="FX180" s="59"/>
      <c r="FY180" s="59"/>
      <c r="FZ180" s="59"/>
      <c r="GA180" s="59"/>
      <c r="GB180" s="59"/>
      <c r="GC180" s="59"/>
      <c r="GD180" s="59"/>
      <c r="GE180" s="59"/>
      <c r="GF180" s="59"/>
      <c r="GG180" s="59"/>
      <c r="GH180" s="59"/>
      <c r="GI180" s="59"/>
      <c r="GJ180" s="59"/>
      <c r="GK180" s="59"/>
      <c r="GL180" s="59"/>
      <c r="GM180" s="59"/>
      <c r="GN180" s="59"/>
      <c r="GO180" s="59"/>
      <c r="GP180" s="59"/>
      <c r="GQ180" s="59"/>
      <c r="GR180" s="59"/>
      <c r="GS180" s="59"/>
      <c r="GT180" s="59"/>
    </row>
    <row r="181" spans="1:202" ht="27" customHeight="1">
      <c r="A181" s="92"/>
      <c r="B181" s="93"/>
      <c r="C181" s="94"/>
      <c r="D181" s="94"/>
      <c r="E181" s="105"/>
      <c r="F181" s="95"/>
      <c r="G181" s="96"/>
      <c r="H181" s="96"/>
      <c r="I181" s="59"/>
      <c r="J181" s="59"/>
      <c r="K181" s="95"/>
      <c r="L181" s="95"/>
      <c r="M181" s="59"/>
      <c r="N181" s="59"/>
      <c r="O181" s="95"/>
      <c r="P181" s="59"/>
      <c r="Q181" s="59"/>
      <c r="R181" s="59"/>
      <c r="S181" s="59"/>
      <c r="T181" s="59"/>
      <c r="U181" s="98"/>
      <c r="V181" s="99"/>
      <c r="W181" s="98"/>
      <c r="X181" s="99"/>
      <c r="Y181" s="98"/>
      <c r="Z181" s="99"/>
      <c r="AA181" s="59"/>
      <c r="AB181" s="59"/>
      <c r="AC181" s="59"/>
      <c r="AD181" s="59"/>
      <c r="AE181" s="100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 t="s">
        <v>380</v>
      </c>
      <c r="DW181" s="59" t="s">
        <v>284</v>
      </c>
      <c r="DX181" s="59" t="s">
        <v>285</v>
      </c>
      <c r="DY181" s="184" t="s">
        <v>357</v>
      </c>
      <c r="DZ181" s="184" t="s">
        <v>359</v>
      </c>
      <c r="EA181" s="59">
        <f>0.3-0</f>
        <v>0.3</v>
      </c>
      <c r="EB181" s="59">
        <v>2538</v>
      </c>
      <c r="EC181" s="59" t="s">
        <v>185</v>
      </c>
      <c r="ED181" s="185">
        <v>0.607</v>
      </c>
      <c r="EE181" s="185">
        <v>1.68</v>
      </c>
      <c r="EF181" s="185">
        <v>0.361</v>
      </c>
      <c r="EG181" s="186" t="s">
        <v>300</v>
      </c>
      <c r="EH181" s="102" t="s">
        <v>289</v>
      </c>
      <c r="EI181" s="187">
        <v>0.9</v>
      </c>
      <c r="EJ181" s="187">
        <v>0.8</v>
      </c>
      <c r="EK181" s="185">
        <v>0.018</v>
      </c>
      <c r="EL181" s="185">
        <v>0.444</v>
      </c>
      <c r="EM181" s="187">
        <v>0.06</v>
      </c>
      <c r="EN181" s="187">
        <v>0.95</v>
      </c>
      <c r="EO181" s="103">
        <f t="shared" si="8"/>
        <v>0.1499999999999999</v>
      </c>
      <c r="EP181" s="59">
        <v>0.15</v>
      </c>
      <c r="EQ181" s="187">
        <v>1</v>
      </c>
      <c r="ER181" s="187">
        <v>1</v>
      </c>
      <c r="ES181" s="104">
        <v>0</v>
      </c>
      <c r="ET181" s="187">
        <v>5</v>
      </c>
      <c r="EU181" s="104">
        <v>0</v>
      </c>
      <c r="EV181" s="187">
        <v>2</v>
      </c>
      <c r="EW181" s="187">
        <v>20</v>
      </c>
      <c r="EX181" s="187">
        <v>15</v>
      </c>
      <c r="EY181" s="104">
        <v>0</v>
      </c>
      <c r="EZ181" s="104">
        <v>0</v>
      </c>
      <c r="FA181" s="104">
        <v>0</v>
      </c>
      <c r="FB181" s="104">
        <v>0</v>
      </c>
      <c r="FC181" s="59"/>
      <c r="FD181" s="59"/>
      <c r="FE181" s="59"/>
      <c r="FF181" s="59"/>
      <c r="FG181" s="59"/>
      <c r="FH181" s="59"/>
      <c r="FI181" s="59"/>
      <c r="FJ181" s="59"/>
      <c r="FK181" s="59"/>
      <c r="FL181" s="59"/>
      <c r="FM181" s="59"/>
      <c r="FN181" s="59"/>
      <c r="FO181" s="59"/>
      <c r="FP181" s="59"/>
      <c r="FQ181" s="59"/>
      <c r="FR181" s="59"/>
      <c r="FS181" s="59"/>
      <c r="FT181" s="59"/>
      <c r="FU181" s="59"/>
      <c r="FV181" s="59"/>
      <c r="FW181" s="59"/>
      <c r="FX181" s="59"/>
      <c r="FY181" s="59"/>
      <c r="FZ181" s="59"/>
      <c r="GA181" s="59"/>
      <c r="GB181" s="59"/>
      <c r="GC181" s="59"/>
      <c r="GD181" s="59"/>
      <c r="GE181" s="59"/>
      <c r="GF181" s="59"/>
      <c r="GG181" s="59"/>
      <c r="GH181" s="59"/>
      <c r="GI181" s="59"/>
      <c r="GJ181" s="59"/>
      <c r="GK181" s="59"/>
      <c r="GL181" s="59"/>
      <c r="GM181" s="59"/>
      <c r="GN181" s="59"/>
      <c r="GO181" s="59"/>
      <c r="GP181" s="59"/>
      <c r="GQ181" s="59"/>
      <c r="GR181" s="59"/>
      <c r="GS181" s="59"/>
      <c r="GT181" s="59"/>
    </row>
    <row r="182" spans="1:202" ht="27" customHeight="1">
      <c r="A182" s="92"/>
      <c r="B182" s="93"/>
      <c r="C182" s="94"/>
      <c r="D182" s="94"/>
      <c r="E182" s="105"/>
      <c r="F182" s="95"/>
      <c r="G182" s="96"/>
      <c r="H182" s="96"/>
      <c r="I182" s="59"/>
      <c r="J182" s="59"/>
      <c r="K182" s="95"/>
      <c r="L182" s="95"/>
      <c r="M182" s="59"/>
      <c r="N182" s="59"/>
      <c r="O182" s="95"/>
      <c r="P182" s="59"/>
      <c r="Q182" s="59"/>
      <c r="R182" s="59"/>
      <c r="S182" s="59"/>
      <c r="T182" s="59"/>
      <c r="U182" s="98"/>
      <c r="V182" s="99"/>
      <c r="W182" s="98"/>
      <c r="X182" s="99"/>
      <c r="Y182" s="98"/>
      <c r="Z182" s="99"/>
      <c r="AA182" s="59"/>
      <c r="AB182" s="59"/>
      <c r="AC182" s="59"/>
      <c r="AD182" s="59"/>
      <c r="AE182" s="100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 t="s">
        <v>380</v>
      </c>
      <c r="DW182" s="59" t="s">
        <v>284</v>
      </c>
      <c r="DX182" s="59" t="s">
        <v>285</v>
      </c>
      <c r="DY182" s="184" t="s">
        <v>359</v>
      </c>
      <c r="DZ182" s="184" t="s">
        <v>360</v>
      </c>
      <c r="EA182" s="59">
        <f>1.685-0.3</f>
        <v>1.385</v>
      </c>
      <c r="EB182" s="59">
        <v>2538</v>
      </c>
      <c r="EC182" s="59" t="s">
        <v>185</v>
      </c>
      <c r="ED182" s="185">
        <v>0.607</v>
      </c>
      <c r="EE182" s="185">
        <v>1.68</v>
      </c>
      <c r="EF182" s="185">
        <v>0.361</v>
      </c>
      <c r="EG182" s="186" t="s">
        <v>300</v>
      </c>
      <c r="EH182" s="102" t="s">
        <v>289</v>
      </c>
      <c r="EI182" s="187">
        <v>0.9</v>
      </c>
      <c r="EJ182" s="187">
        <v>0.8</v>
      </c>
      <c r="EK182" s="185">
        <v>0.018</v>
      </c>
      <c r="EL182" s="185">
        <v>0.444</v>
      </c>
      <c r="EM182" s="187">
        <v>0.06</v>
      </c>
      <c r="EN182" s="187">
        <v>0.95</v>
      </c>
      <c r="EO182" s="103">
        <f t="shared" si="8"/>
        <v>0.1499999999999999</v>
      </c>
      <c r="EP182" s="59">
        <v>0.15</v>
      </c>
      <c r="EQ182" s="187">
        <v>1</v>
      </c>
      <c r="ER182" s="187">
        <v>1</v>
      </c>
      <c r="ES182" s="104">
        <v>0</v>
      </c>
      <c r="ET182" s="187">
        <v>5</v>
      </c>
      <c r="EU182" s="104">
        <v>0</v>
      </c>
      <c r="EV182" s="187">
        <v>2</v>
      </c>
      <c r="EW182" s="187">
        <v>20</v>
      </c>
      <c r="EX182" s="187">
        <v>15</v>
      </c>
      <c r="EY182" s="104">
        <v>0</v>
      </c>
      <c r="EZ182" s="104">
        <v>0</v>
      </c>
      <c r="FA182" s="104">
        <v>0</v>
      </c>
      <c r="FB182" s="104">
        <v>0</v>
      </c>
      <c r="FC182" s="59"/>
      <c r="FD182" s="59"/>
      <c r="FE182" s="59"/>
      <c r="FF182" s="59"/>
      <c r="FG182" s="59"/>
      <c r="FH182" s="59"/>
      <c r="FI182" s="59"/>
      <c r="FJ182" s="59"/>
      <c r="FK182" s="59"/>
      <c r="FL182" s="59"/>
      <c r="FM182" s="59"/>
      <c r="FN182" s="59"/>
      <c r="FO182" s="59"/>
      <c r="FP182" s="59"/>
      <c r="FQ182" s="59"/>
      <c r="FR182" s="59"/>
      <c r="FS182" s="59"/>
      <c r="FT182" s="59"/>
      <c r="FU182" s="59"/>
      <c r="FV182" s="59"/>
      <c r="FW182" s="59"/>
      <c r="FX182" s="59"/>
      <c r="FY182" s="59"/>
      <c r="FZ182" s="59"/>
      <c r="GA182" s="59"/>
      <c r="GB182" s="59"/>
      <c r="GC182" s="59"/>
      <c r="GD182" s="59"/>
      <c r="GE182" s="59"/>
      <c r="GF182" s="59"/>
      <c r="GG182" s="59"/>
      <c r="GH182" s="59"/>
      <c r="GI182" s="59"/>
      <c r="GJ182" s="59"/>
      <c r="GK182" s="59"/>
      <c r="GL182" s="59"/>
      <c r="GM182" s="59"/>
      <c r="GN182" s="59"/>
      <c r="GO182" s="59"/>
      <c r="GP182" s="59"/>
      <c r="GQ182" s="59"/>
      <c r="GR182" s="59"/>
      <c r="GS182" s="59"/>
      <c r="GT182" s="59"/>
    </row>
    <row r="183" spans="1:202" ht="27" customHeight="1">
      <c r="A183" s="92"/>
      <c r="B183" s="93"/>
      <c r="C183" s="94"/>
      <c r="D183" s="94"/>
      <c r="E183" s="105"/>
      <c r="F183" s="95"/>
      <c r="G183" s="96"/>
      <c r="H183" s="96"/>
      <c r="I183" s="59"/>
      <c r="J183" s="59"/>
      <c r="K183" s="95"/>
      <c r="L183" s="95"/>
      <c r="M183" s="59"/>
      <c r="N183" s="59"/>
      <c r="O183" s="95"/>
      <c r="P183" s="59"/>
      <c r="Q183" s="59"/>
      <c r="R183" s="59"/>
      <c r="S183" s="59"/>
      <c r="T183" s="59"/>
      <c r="U183" s="98"/>
      <c r="V183" s="99"/>
      <c r="W183" s="98"/>
      <c r="X183" s="99"/>
      <c r="Y183" s="98"/>
      <c r="Z183" s="99"/>
      <c r="AA183" s="59"/>
      <c r="AB183" s="59"/>
      <c r="AC183" s="59"/>
      <c r="AD183" s="59"/>
      <c r="AE183" s="100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 t="s">
        <v>380</v>
      </c>
      <c r="DW183" s="59" t="s">
        <v>284</v>
      </c>
      <c r="DX183" s="59" t="s">
        <v>285</v>
      </c>
      <c r="DY183" s="184" t="s">
        <v>361</v>
      </c>
      <c r="DZ183" s="184" t="s">
        <v>362</v>
      </c>
      <c r="EA183" s="59">
        <f>2.38-1.685</f>
        <v>0.6949999999999998</v>
      </c>
      <c r="EB183" s="59">
        <v>2538</v>
      </c>
      <c r="EC183" s="59" t="s">
        <v>185</v>
      </c>
      <c r="ED183" s="185">
        <v>0.57</v>
      </c>
      <c r="EE183" s="185">
        <v>1.6</v>
      </c>
      <c r="EF183" s="185">
        <v>0.356</v>
      </c>
      <c r="EG183" s="186" t="s">
        <v>300</v>
      </c>
      <c r="EH183" s="102" t="s">
        <v>289</v>
      </c>
      <c r="EI183" s="187">
        <v>0.8</v>
      </c>
      <c r="EJ183" s="187">
        <v>0.8</v>
      </c>
      <c r="EK183" s="185">
        <v>0.018</v>
      </c>
      <c r="EL183" s="185">
        <v>0.434</v>
      </c>
      <c r="EM183" s="187">
        <v>0.06</v>
      </c>
      <c r="EN183" s="187">
        <v>0.95</v>
      </c>
      <c r="EO183" s="103">
        <f t="shared" si="8"/>
        <v>0.1499999999999999</v>
      </c>
      <c r="EP183" s="59">
        <v>0.15</v>
      </c>
      <c r="EQ183" s="187">
        <v>1</v>
      </c>
      <c r="ER183" s="187">
        <v>1</v>
      </c>
      <c r="ES183" s="104">
        <v>0</v>
      </c>
      <c r="ET183" s="187">
        <v>5</v>
      </c>
      <c r="EU183" s="104">
        <v>0</v>
      </c>
      <c r="EV183" s="187">
        <v>2</v>
      </c>
      <c r="EW183" s="187">
        <v>20</v>
      </c>
      <c r="EX183" s="187">
        <v>15</v>
      </c>
      <c r="EY183" s="104">
        <v>0</v>
      </c>
      <c r="EZ183" s="104">
        <v>0</v>
      </c>
      <c r="FA183" s="104">
        <v>0</v>
      </c>
      <c r="FB183" s="104">
        <v>0</v>
      </c>
      <c r="FC183" s="59"/>
      <c r="FD183" s="59"/>
      <c r="FE183" s="59"/>
      <c r="FF183" s="59"/>
      <c r="FG183" s="59"/>
      <c r="FH183" s="59"/>
      <c r="FI183" s="59"/>
      <c r="FJ183" s="59"/>
      <c r="FK183" s="59"/>
      <c r="FL183" s="59"/>
      <c r="FM183" s="59"/>
      <c r="FN183" s="59"/>
      <c r="FO183" s="59"/>
      <c r="FP183" s="59"/>
      <c r="FQ183" s="59"/>
      <c r="FR183" s="59"/>
      <c r="FS183" s="59"/>
      <c r="FT183" s="59"/>
      <c r="FU183" s="59"/>
      <c r="FV183" s="59"/>
      <c r="FW183" s="59"/>
      <c r="FX183" s="59"/>
      <c r="FY183" s="59"/>
      <c r="FZ183" s="59"/>
      <c r="GA183" s="59"/>
      <c r="GB183" s="59"/>
      <c r="GC183" s="59"/>
      <c r="GD183" s="59"/>
      <c r="GE183" s="59"/>
      <c r="GF183" s="59"/>
      <c r="GG183" s="59"/>
      <c r="GH183" s="59"/>
      <c r="GI183" s="59"/>
      <c r="GJ183" s="59"/>
      <c r="GK183" s="59"/>
      <c r="GL183" s="59"/>
      <c r="GM183" s="59"/>
      <c r="GN183" s="59"/>
      <c r="GO183" s="59"/>
      <c r="GP183" s="59"/>
      <c r="GQ183" s="59"/>
      <c r="GR183" s="59"/>
      <c r="GS183" s="59"/>
      <c r="GT183" s="59"/>
    </row>
    <row r="184" spans="1:202" ht="27" customHeight="1">
      <c r="A184" s="92"/>
      <c r="B184" s="93"/>
      <c r="C184" s="94"/>
      <c r="D184" s="94"/>
      <c r="E184" s="105"/>
      <c r="F184" s="95"/>
      <c r="G184" s="96"/>
      <c r="H184" s="96"/>
      <c r="I184" s="59"/>
      <c r="J184" s="59"/>
      <c r="K184" s="95"/>
      <c r="L184" s="95"/>
      <c r="M184" s="59"/>
      <c r="N184" s="59"/>
      <c r="O184" s="95"/>
      <c r="P184" s="59"/>
      <c r="Q184" s="59"/>
      <c r="R184" s="59"/>
      <c r="S184" s="59"/>
      <c r="T184" s="59"/>
      <c r="U184" s="98"/>
      <c r="V184" s="99"/>
      <c r="W184" s="98"/>
      <c r="X184" s="99"/>
      <c r="Y184" s="98"/>
      <c r="Z184" s="99"/>
      <c r="AA184" s="59"/>
      <c r="AB184" s="59"/>
      <c r="AC184" s="59"/>
      <c r="AD184" s="59"/>
      <c r="AE184" s="100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 t="s">
        <v>380</v>
      </c>
      <c r="DW184" s="59" t="s">
        <v>284</v>
      </c>
      <c r="DX184" s="59" t="s">
        <v>285</v>
      </c>
      <c r="DY184" s="184" t="s">
        <v>362</v>
      </c>
      <c r="DZ184" s="184" t="s">
        <v>333</v>
      </c>
      <c r="EA184" s="59">
        <f>3.5-2.38</f>
        <v>1.12</v>
      </c>
      <c r="EB184" s="59">
        <v>2538</v>
      </c>
      <c r="EC184" s="59" t="s">
        <v>185</v>
      </c>
      <c r="ED184" s="185">
        <v>0.399</v>
      </c>
      <c r="EE184" s="185">
        <v>1.225</v>
      </c>
      <c r="EF184" s="185">
        <v>0.326</v>
      </c>
      <c r="EG184" s="186" t="s">
        <v>300</v>
      </c>
      <c r="EH184" s="102" t="s">
        <v>289</v>
      </c>
      <c r="EI184" s="187">
        <v>0.7</v>
      </c>
      <c r="EJ184" s="187">
        <v>0.7</v>
      </c>
      <c r="EK184" s="185">
        <v>1.018</v>
      </c>
      <c r="EL184" s="185">
        <v>0.38</v>
      </c>
      <c r="EM184" s="187">
        <v>0.06</v>
      </c>
      <c r="EN184" s="187">
        <v>0.85</v>
      </c>
      <c r="EO184" s="103">
        <f t="shared" si="8"/>
        <v>0.15000000000000002</v>
      </c>
      <c r="EP184" s="59">
        <v>0.15</v>
      </c>
      <c r="EQ184" s="187" t="s">
        <v>185</v>
      </c>
      <c r="ER184" s="187" t="s">
        <v>185</v>
      </c>
      <c r="ES184" s="104">
        <v>0</v>
      </c>
      <c r="ET184" s="187">
        <v>5</v>
      </c>
      <c r="EU184" s="104">
        <v>0</v>
      </c>
      <c r="EV184" s="187">
        <v>2</v>
      </c>
      <c r="EW184" s="187">
        <v>20</v>
      </c>
      <c r="EX184" s="187">
        <v>15</v>
      </c>
      <c r="EY184" s="104">
        <v>0</v>
      </c>
      <c r="EZ184" s="104">
        <v>0</v>
      </c>
      <c r="FA184" s="104">
        <v>0</v>
      </c>
      <c r="FB184" s="104">
        <v>0</v>
      </c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  <c r="GD184" s="59"/>
      <c r="GE184" s="59"/>
      <c r="GF184" s="59"/>
      <c r="GG184" s="59"/>
      <c r="GH184" s="59"/>
      <c r="GI184" s="59"/>
      <c r="GJ184" s="59"/>
      <c r="GK184" s="59"/>
      <c r="GL184" s="59"/>
      <c r="GM184" s="59"/>
      <c r="GN184" s="59"/>
      <c r="GO184" s="59"/>
      <c r="GP184" s="59"/>
      <c r="GQ184" s="59"/>
      <c r="GR184" s="59"/>
      <c r="GS184" s="59"/>
      <c r="GT184" s="59"/>
    </row>
    <row r="185" spans="1:202" ht="27" customHeight="1">
      <c r="A185" s="92"/>
      <c r="B185" s="93"/>
      <c r="C185" s="94"/>
      <c r="D185" s="94"/>
      <c r="E185" s="105"/>
      <c r="F185" s="95"/>
      <c r="G185" s="96"/>
      <c r="H185" s="96"/>
      <c r="I185" s="59"/>
      <c r="J185" s="59"/>
      <c r="K185" s="95"/>
      <c r="L185" s="95"/>
      <c r="M185" s="59"/>
      <c r="N185" s="59"/>
      <c r="O185" s="95"/>
      <c r="P185" s="59"/>
      <c r="Q185" s="59"/>
      <c r="R185" s="59"/>
      <c r="S185" s="59"/>
      <c r="T185" s="59"/>
      <c r="U185" s="98"/>
      <c r="V185" s="99"/>
      <c r="W185" s="98"/>
      <c r="X185" s="99"/>
      <c r="Y185" s="98"/>
      <c r="Z185" s="99"/>
      <c r="AA185" s="59"/>
      <c r="AB185" s="59"/>
      <c r="AC185" s="59"/>
      <c r="AD185" s="59"/>
      <c r="AE185" s="100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 t="s">
        <v>380</v>
      </c>
      <c r="DW185" s="59" t="s">
        <v>284</v>
      </c>
      <c r="DX185" s="59" t="s">
        <v>285</v>
      </c>
      <c r="DY185" s="184" t="s">
        <v>333</v>
      </c>
      <c r="DZ185" s="184" t="s">
        <v>336</v>
      </c>
      <c r="EA185" s="59">
        <f>5.2-3.5</f>
        <v>1.7000000000000002</v>
      </c>
      <c r="EB185" s="59">
        <v>2538</v>
      </c>
      <c r="EC185" s="59" t="s">
        <v>185</v>
      </c>
      <c r="ED185" s="185">
        <v>0.399</v>
      </c>
      <c r="EE185" s="185">
        <v>1.225</v>
      </c>
      <c r="EF185" s="185">
        <v>0.326</v>
      </c>
      <c r="EG185" s="186" t="s">
        <v>300</v>
      </c>
      <c r="EH185" s="102" t="s">
        <v>289</v>
      </c>
      <c r="EI185" s="187">
        <v>0.7</v>
      </c>
      <c r="EJ185" s="187">
        <v>0.7</v>
      </c>
      <c r="EK185" s="185">
        <v>0.018</v>
      </c>
      <c r="EL185" s="185">
        <v>0.38</v>
      </c>
      <c r="EM185" s="187">
        <v>0.06</v>
      </c>
      <c r="EN185" s="187">
        <v>0.85</v>
      </c>
      <c r="EO185" s="103">
        <f t="shared" si="8"/>
        <v>0.15000000000000002</v>
      </c>
      <c r="EP185" s="59">
        <v>0.15</v>
      </c>
      <c r="EQ185" s="187" t="s">
        <v>185</v>
      </c>
      <c r="ER185" s="187" t="s">
        <v>185</v>
      </c>
      <c r="ES185" s="104">
        <v>0</v>
      </c>
      <c r="ET185" s="187">
        <v>5</v>
      </c>
      <c r="EU185" s="104">
        <v>0</v>
      </c>
      <c r="EV185" s="187">
        <v>2</v>
      </c>
      <c r="EW185" s="187">
        <v>20</v>
      </c>
      <c r="EX185" s="187">
        <v>15</v>
      </c>
      <c r="EY185" s="104">
        <v>0</v>
      </c>
      <c r="EZ185" s="104">
        <v>0</v>
      </c>
      <c r="FA185" s="104">
        <v>0</v>
      </c>
      <c r="FB185" s="104">
        <v>0</v>
      </c>
      <c r="FC185" s="59"/>
      <c r="FD185" s="59"/>
      <c r="FE185" s="59"/>
      <c r="FF185" s="59"/>
      <c r="FG185" s="59"/>
      <c r="FH185" s="59"/>
      <c r="FI185" s="59"/>
      <c r="FJ185" s="59"/>
      <c r="FK185" s="59"/>
      <c r="FL185" s="59"/>
      <c r="FM185" s="59"/>
      <c r="FN185" s="59"/>
      <c r="FO185" s="59"/>
      <c r="FP185" s="59"/>
      <c r="FQ185" s="59"/>
      <c r="FR185" s="59"/>
      <c r="FS185" s="59"/>
      <c r="FT185" s="59"/>
      <c r="FU185" s="59"/>
      <c r="FV185" s="59"/>
      <c r="FW185" s="59"/>
      <c r="FX185" s="59"/>
      <c r="FY185" s="59"/>
      <c r="FZ185" s="59"/>
      <c r="GA185" s="59"/>
      <c r="GB185" s="59"/>
      <c r="GC185" s="59"/>
      <c r="GD185" s="59"/>
      <c r="GE185" s="59"/>
      <c r="GF185" s="59"/>
      <c r="GG185" s="59"/>
      <c r="GH185" s="59"/>
      <c r="GI185" s="59"/>
      <c r="GJ185" s="59"/>
      <c r="GK185" s="59"/>
      <c r="GL185" s="59"/>
      <c r="GM185" s="59"/>
      <c r="GN185" s="59"/>
      <c r="GO185" s="59"/>
      <c r="GP185" s="59"/>
      <c r="GQ185" s="59"/>
      <c r="GR185" s="59"/>
      <c r="GS185" s="59"/>
      <c r="GT185" s="59"/>
    </row>
    <row r="186" spans="1:202" ht="27" customHeight="1">
      <c r="A186" s="92"/>
      <c r="B186" s="93"/>
      <c r="C186" s="94"/>
      <c r="D186" s="94"/>
      <c r="E186" s="105"/>
      <c r="F186" s="95"/>
      <c r="G186" s="96"/>
      <c r="H186" s="96"/>
      <c r="I186" s="59"/>
      <c r="J186" s="59"/>
      <c r="K186" s="95"/>
      <c r="L186" s="95"/>
      <c r="M186" s="59"/>
      <c r="N186" s="59"/>
      <c r="O186" s="95"/>
      <c r="P186" s="59"/>
      <c r="Q186" s="59"/>
      <c r="R186" s="59"/>
      <c r="S186" s="59"/>
      <c r="T186" s="59"/>
      <c r="U186" s="98"/>
      <c r="V186" s="99"/>
      <c r="W186" s="98"/>
      <c r="X186" s="99"/>
      <c r="Y186" s="98"/>
      <c r="Z186" s="99"/>
      <c r="AA186" s="59"/>
      <c r="AB186" s="59"/>
      <c r="AC186" s="59"/>
      <c r="AD186" s="59"/>
      <c r="AE186" s="100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 t="s">
        <v>381</v>
      </c>
      <c r="DW186" s="59" t="s">
        <v>284</v>
      </c>
      <c r="DX186" s="59" t="s">
        <v>285</v>
      </c>
      <c r="DY186" s="184" t="s">
        <v>357</v>
      </c>
      <c r="DZ186" s="184" t="s">
        <v>363</v>
      </c>
      <c r="EA186" s="59">
        <f>2.24-0</f>
        <v>2.24</v>
      </c>
      <c r="EB186" s="59">
        <v>2538</v>
      </c>
      <c r="EC186" s="59" t="s">
        <v>185</v>
      </c>
      <c r="ED186" s="185">
        <v>0.505</v>
      </c>
      <c r="EE186" s="185">
        <v>1.225</v>
      </c>
      <c r="EF186" s="185">
        <v>0.412</v>
      </c>
      <c r="EG186" s="186" t="s">
        <v>376</v>
      </c>
      <c r="EH186" s="102" t="s">
        <v>289</v>
      </c>
      <c r="EI186" s="187">
        <v>0.7</v>
      </c>
      <c r="EJ186" s="187">
        <v>0.7</v>
      </c>
      <c r="EK186" s="185">
        <v>0.018</v>
      </c>
      <c r="EL186" s="185">
        <v>0.38</v>
      </c>
      <c r="EM186" s="187">
        <v>0.06</v>
      </c>
      <c r="EN186" s="187">
        <v>0.85</v>
      </c>
      <c r="EO186" s="103">
        <f t="shared" si="8"/>
        <v>0.15000000000000002</v>
      </c>
      <c r="EP186" s="59">
        <v>0.15</v>
      </c>
      <c r="EQ186" s="187">
        <v>1</v>
      </c>
      <c r="ER186" s="187">
        <v>1</v>
      </c>
      <c r="ES186" s="104">
        <v>0</v>
      </c>
      <c r="ET186" s="187">
        <v>2</v>
      </c>
      <c r="EU186" s="104">
        <v>0</v>
      </c>
      <c r="EV186" s="187">
        <v>5</v>
      </c>
      <c r="EW186" s="187">
        <v>15</v>
      </c>
      <c r="EX186" s="187">
        <v>20</v>
      </c>
      <c r="EY186" s="104">
        <v>0</v>
      </c>
      <c r="EZ186" s="104">
        <v>0</v>
      </c>
      <c r="FA186" s="104">
        <v>0</v>
      </c>
      <c r="FB186" s="104">
        <v>0</v>
      </c>
      <c r="FC186" s="59"/>
      <c r="FD186" s="59"/>
      <c r="FE186" s="59"/>
      <c r="FF186" s="59"/>
      <c r="FG186" s="59"/>
      <c r="FH186" s="59"/>
      <c r="FI186" s="59"/>
      <c r="FJ186" s="59"/>
      <c r="FK186" s="59"/>
      <c r="FL186" s="59"/>
      <c r="FM186" s="59"/>
      <c r="FN186" s="59"/>
      <c r="FO186" s="59"/>
      <c r="FP186" s="59"/>
      <c r="FQ186" s="59"/>
      <c r="FR186" s="59"/>
      <c r="FS186" s="59"/>
      <c r="FT186" s="59"/>
      <c r="FU186" s="59"/>
      <c r="FV186" s="59"/>
      <c r="FW186" s="59"/>
      <c r="FX186" s="59"/>
      <c r="FY186" s="59"/>
      <c r="FZ186" s="59"/>
      <c r="GA186" s="59"/>
      <c r="GB186" s="59"/>
      <c r="GC186" s="59"/>
      <c r="GD186" s="59"/>
      <c r="GE186" s="59"/>
      <c r="GF186" s="59"/>
      <c r="GG186" s="59"/>
      <c r="GH186" s="59"/>
      <c r="GI186" s="59"/>
      <c r="GJ186" s="59"/>
      <c r="GK186" s="59"/>
      <c r="GL186" s="59"/>
      <c r="GM186" s="59"/>
      <c r="GN186" s="59"/>
      <c r="GO186" s="59"/>
      <c r="GP186" s="59"/>
      <c r="GQ186" s="59"/>
      <c r="GR186" s="59"/>
      <c r="GS186" s="59"/>
      <c r="GT186" s="59"/>
    </row>
    <row r="187" spans="1:202" ht="27" customHeight="1">
      <c r="A187" s="92"/>
      <c r="B187" s="93"/>
      <c r="C187" s="94"/>
      <c r="D187" s="94"/>
      <c r="E187" s="105"/>
      <c r="F187" s="95"/>
      <c r="G187" s="96"/>
      <c r="H187" s="96"/>
      <c r="I187" s="59"/>
      <c r="J187" s="59"/>
      <c r="K187" s="95"/>
      <c r="L187" s="95"/>
      <c r="M187" s="59"/>
      <c r="N187" s="59"/>
      <c r="O187" s="95"/>
      <c r="P187" s="59"/>
      <c r="Q187" s="59"/>
      <c r="R187" s="59"/>
      <c r="S187" s="59"/>
      <c r="T187" s="59"/>
      <c r="U187" s="98"/>
      <c r="V187" s="99"/>
      <c r="W187" s="98"/>
      <c r="X187" s="99"/>
      <c r="Y187" s="98"/>
      <c r="Z187" s="99"/>
      <c r="AA187" s="59"/>
      <c r="AB187" s="59"/>
      <c r="AC187" s="59"/>
      <c r="AD187" s="59"/>
      <c r="AE187" s="100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 t="s">
        <v>381</v>
      </c>
      <c r="DW187" s="59" t="s">
        <v>284</v>
      </c>
      <c r="DX187" s="59" t="s">
        <v>285</v>
      </c>
      <c r="DY187" s="184" t="s">
        <v>363</v>
      </c>
      <c r="DZ187" s="184" t="s">
        <v>364</v>
      </c>
      <c r="EA187" s="59">
        <f>3.4-2.24</f>
        <v>1.1599999999999997</v>
      </c>
      <c r="EB187" s="59">
        <v>2538</v>
      </c>
      <c r="EC187" s="59" t="s">
        <v>185</v>
      </c>
      <c r="ED187" s="185">
        <v>0.253</v>
      </c>
      <c r="EE187" s="185">
        <v>0.729</v>
      </c>
      <c r="EF187" s="185">
        <v>0.347</v>
      </c>
      <c r="EG187" s="186" t="s">
        <v>376</v>
      </c>
      <c r="EH187" s="102" t="s">
        <v>289</v>
      </c>
      <c r="EI187" s="187">
        <v>0.5</v>
      </c>
      <c r="EJ187" s="187">
        <v>0.55</v>
      </c>
      <c r="EK187" s="185">
        <v>0.018</v>
      </c>
      <c r="EL187" s="185">
        <v>0.293</v>
      </c>
      <c r="EM187" s="187">
        <v>0.06</v>
      </c>
      <c r="EN187" s="187">
        <v>0.7</v>
      </c>
      <c r="EO187" s="103">
        <f t="shared" si="8"/>
        <v>0.1499999999999999</v>
      </c>
      <c r="EP187" s="59">
        <v>0.15</v>
      </c>
      <c r="EQ187" s="187" t="s">
        <v>185</v>
      </c>
      <c r="ER187" s="187" t="s">
        <v>185</v>
      </c>
      <c r="ES187" s="104">
        <v>0</v>
      </c>
      <c r="ET187" s="187">
        <v>2</v>
      </c>
      <c r="EU187" s="104">
        <v>0</v>
      </c>
      <c r="EV187" s="187">
        <v>5</v>
      </c>
      <c r="EW187" s="187">
        <v>15</v>
      </c>
      <c r="EX187" s="187">
        <v>20</v>
      </c>
      <c r="EY187" s="104">
        <v>0</v>
      </c>
      <c r="EZ187" s="104">
        <v>0</v>
      </c>
      <c r="FA187" s="104">
        <v>0</v>
      </c>
      <c r="FB187" s="104">
        <v>0</v>
      </c>
      <c r="FC187" s="59"/>
      <c r="FD187" s="59"/>
      <c r="FE187" s="59"/>
      <c r="FF187" s="59"/>
      <c r="FG187" s="59"/>
      <c r="FH187" s="59"/>
      <c r="FI187" s="59"/>
      <c r="FJ187" s="59"/>
      <c r="FK187" s="59"/>
      <c r="FL187" s="59"/>
      <c r="FM187" s="59"/>
      <c r="FN187" s="59"/>
      <c r="FO187" s="59"/>
      <c r="FP187" s="59"/>
      <c r="FQ187" s="59"/>
      <c r="FR187" s="59"/>
      <c r="FS187" s="59"/>
      <c r="FT187" s="59"/>
      <c r="FU187" s="59"/>
      <c r="FV187" s="59"/>
      <c r="FW187" s="59"/>
      <c r="FX187" s="59"/>
      <c r="FY187" s="59"/>
      <c r="FZ187" s="59"/>
      <c r="GA187" s="59"/>
      <c r="GB187" s="59"/>
      <c r="GC187" s="59"/>
      <c r="GD187" s="59"/>
      <c r="GE187" s="59"/>
      <c r="GF187" s="59"/>
      <c r="GG187" s="59"/>
      <c r="GH187" s="59"/>
      <c r="GI187" s="59"/>
      <c r="GJ187" s="59"/>
      <c r="GK187" s="59"/>
      <c r="GL187" s="59"/>
      <c r="GM187" s="59"/>
      <c r="GN187" s="59"/>
      <c r="GO187" s="59"/>
      <c r="GP187" s="59"/>
      <c r="GQ187" s="59"/>
      <c r="GR187" s="59"/>
      <c r="GS187" s="59"/>
      <c r="GT187" s="59"/>
    </row>
    <row r="188" spans="1:202" ht="27" customHeight="1">
      <c r="A188" s="92"/>
      <c r="B188" s="93"/>
      <c r="C188" s="94"/>
      <c r="D188" s="94"/>
      <c r="E188" s="105"/>
      <c r="F188" s="95"/>
      <c r="G188" s="96"/>
      <c r="H188" s="96"/>
      <c r="I188" s="59"/>
      <c r="J188" s="59"/>
      <c r="K188" s="95"/>
      <c r="L188" s="95"/>
      <c r="M188" s="59"/>
      <c r="N188" s="59"/>
      <c r="O188" s="95"/>
      <c r="P188" s="59"/>
      <c r="Q188" s="59"/>
      <c r="R188" s="59"/>
      <c r="S188" s="59"/>
      <c r="T188" s="59"/>
      <c r="U188" s="98"/>
      <c r="V188" s="99"/>
      <c r="W188" s="98"/>
      <c r="X188" s="99"/>
      <c r="Y188" s="98"/>
      <c r="Z188" s="99"/>
      <c r="AA188" s="59"/>
      <c r="AB188" s="59"/>
      <c r="AC188" s="59"/>
      <c r="AD188" s="59"/>
      <c r="AE188" s="100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 t="s">
        <v>381</v>
      </c>
      <c r="DW188" s="59" t="s">
        <v>284</v>
      </c>
      <c r="DX188" s="59" t="s">
        <v>285</v>
      </c>
      <c r="DY188" s="184" t="s">
        <v>364</v>
      </c>
      <c r="DZ188" s="184" t="s">
        <v>333</v>
      </c>
      <c r="EA188" s="59">
        <f>3.5-3.4</f>
        <v>0.10000000000000009</v>
      </c>
      <c r="EB188" s="59">
        <v>2538</v>
      </c>
      <c r="EC188" s="59" t="s">
        <v>185</v>
      </c>
      <c r="ED188" s="185">
        <v>0.206</v>
      </c>
      <c r="EE188" s="185">
        <v>0.625</v>
      </c>
      <c r="EF188" s="185">
        <v>0.329</v>
      </c>
      <c r="EG188" s="186" t="s">
        <v>376</v>
      </c>
      <c r="EH188" s="102" t="s">
        <v>289</v>
      </c>
      <c r="EI188" s="187">
        <v>0.5</v>
      </c>
      <c r="EJ188" s="187">
        <v>0.5</v>
      </c>
      <c r="EK188" s="185">
        <v>0.018</v>
      </c>
      <c r="EL188" s="185">
        <v>0.271</v>
      </c>
      <c r="EM188" s="187">
        <v>0.06</v>
      </c>
      <c r="EN188" s="187">
        <v>0.65</v>
      </c>
      <c r="EO188" s="103">
        <f t="shared" si="8"/>
        <v>0.15000000000000002</v>
      </c>
      <c r="EP188" s="59">
        <v>0.15</v>
      </c>
      <c r="EQ188" s="187" t="s">
        <v>185</v>
      </c>
      <c r="ER188" s="187" t="s">
        <v>185</v>
      </c>
      <c r="ES188" s="104">
        <v>0</v>
      </c>
      <c r="ET188" s="187">
        <v>2</v>
      </c>
      <c r="EU188" s="104">
        <v>0</v>
      </c>
      <c r="EV188" s="187">
        <v>5</v>
      </c>
      <c r="EW188" s="187">
        <v>15</v>
      </c>
      <c r="EX188" s="187">
        <v>20</v>
      </c>
      <c r="EY188" s="104">
        <v>0</v>
      </c>
      <c r="EZ188" s="104">
        <v>0</v>
      </c>
      <c r="FA188" s="104">
        <v>0</v>
      </c>
      <c r="FB188" s="104">
        <v>0</v>
      </c>
      <c r="FC188" s="59"/>
      <c r="FD188" s="59"/>
      <c r="FE188" s="59"/>
      <c r="FF188" s="59"/>
      <c r="FG188" s="59"/>
      <c r="FH188" s="59"/>
      <c r="FI188" s="59"/>
      <c r="FJ188" s="59"/>
      <c r="FK188" s="59"/>
      <c r="FL188" s="59"/>
      <c r="FM188" s="59"/>
      <c r="FN188" s="59"/>
      <c r="FO188" s="59"/>
      <c r="FP188" s="59"/>
      <c r="FQ188" s="59"/>
      <c r="FR188" s="59"/>
      <c r="FS188" s="59"/>
      <c r="FT188" s="59"/>
      <c r="FU188" s="59"/>
      <c r="FV188" s="59"/>
      <c r="FW188" s="59"/>
      <c r="FX188" s="59"/>
      <c r="FY188" s="59"/>
      <c r="FZ188" s="59"/>
      <c r="GA188" s="59"/>
      <c r="GB188" s="59"/>
      <c r="GC188" s="59"/>
      <c r="GD188" s="59"/>
      <c r="GE188" s="59"/>
      <c r="GF188" s="59"/>
      <c r="GG188" s="59"/>
      <c r="GH188" s="59"/>
      <c r="GI188" s="59"/>
      <c r="GJ188" s="59"/>
      <c r="GK188" s="59"/>
      <c r="GL188" s="59"/>
      <c r="GM188" s="59"/>
      <c r="GN188" s="59"/>
      <c r="GO188" s="59"/>
      <c r="GP188" s="59"/>
      <c r="GQ188" s="59"/>
      <c r="GR188" s="59"/>
      <c r="GS188" s="59"/>
      <c r="GT188" s="59"/>
    </row>
    <row r="189" spans="1:202" ht="27" customHeight="1">
      <c r="A189" s="92"/>
      <c r="B189" s="93"/>
      <c r="C189" s="94"/>
      <c r="D189" s="94"/>
      <c r="E189" s="105"/>
      <c r="F189" s="95"/>
      <c r="G189" s="96"/>
      <c r="H189" s="96"/>
      <c r="I189" s="59"/>
      <c r="J189" s="59"/>
      <c r="K189" s="95"/>
      <c r="L189" s="95"/>
      <c r="M189" s="59"/>
      <c r="N189" s="59"/>
      <c r="O189" s="95"/>
      <c r="P189" s="59"/>
      <c r="Q189" s="59"/>
      <c r="R189" s="59"/>
      <c r="S189" s="59"/>
      <c r="T189" s="59"/>
      <c r="U189" s="98"/>
      <c r="V189" s="99"/>
      <c r="W189" s="98"/>
      <c r="X189" s="99"/>
      <c r="Y189" s="98"/>
      <c r="Z189" s="99"/>
      <c r="AA189" s="59"/>
      <c r="AB189" s="59"/>
      <c r="AC189" s="59"/>
      <c r="AD189" s="59"/>
      <c r="AE189" s="100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 t="s">
        <v>381</v>
      </c>
      <c r="DW189" s="59" t="s">
        <v>284</v>
      </c>
      <c r="DX189" s="59" t="s">
        <v>285</v>
      </c>
      <c r="DY189" s="184" t="s">
        <v>333</v>
      </c>
      <c r="DZ189" s="184" t="s">
        <v>365</v>
      </c>
      <c r="EA189" s="59">
        <f>3.65-3.5</f>
        <v>0.1499999999999999</v>
      </c>
      <c r="EB189" s="59">
        <v>2538</v>
      </c>
      <c r="EC189" s="59" t="s">
        <v>185</v>
      </c>
      <c r="ED189" s="185">
        <v>0.206</v>
      </c>
      <c r="EE189" s="185">
        <v>0.625</v>
      </c>
      <c r="EF189" s="185">
        <v>0.329</v>
      </c>
      <c r="EG189" s="186" t="s">
        <v>377</v>
      </c>
      <c r="EH189" s="102" t="s">
        <v>289</v>
      </c>
      <c r="EI189" s="187">
        <v>0.5</v>
      </c>
      <c r="EJ189" s="187">
        <v>0.5</v>
      </c>
      <c r="EK189" s="185">
        <v>0.018</v>
      </c>
      <c r="EL189" s="185">
        <v>0.271</v>
      </c>
      <c r="EM189" s="187">
        <v>0.06</v>
      </c>
      <c r="EN189" s="187">
        <v>0.65</v>
      </c>
      <c r="EO189" s="103">
        <f t="shared" si="8"/>
        <v>0.15000000000000002</v>
      </c>
      <c r="EP189" s="59">
        <v>0.15</v>
      </c>
      <c r="EQ189" s="187" t="s">
        <v>185</v>
      </c>
      <c r="ER189" s="187" t="s">
        <v>185</v>
      </c>
      <c r="ES189" s="104">
        <v>0</v>
      </c>
      <c r="ET189" s="187">
        <v>2</v>
      </c>
      <c r="EU189" s="104">
        <v>0</v>
      </c>
      <c r="EV189" s="187">
        <v>5</v>
      </c>
      <c r="EW189" s="187">
        <v>15</v>
      </c>
      <c r="EX189" s="187">
        <v>20</v>
      </c>
      <c r="EY189" s="104">
        <v>0</v>
      </c>
      <c r="EZ189" s="104">
        <v>0</v>
      </c>
      <c r="FA189" s="104">
        <v>0</v>
      </c>
      <c r="FB189" s="104">
        <v>0</v>
      </c>
      <c r="FC189" s="59"/>
      <c r="FD189" s="59"/>
      <c r="FE189" s="59"/>
      <c r="FF189" s="59"/>
      <c r="FG189" s="59"/>
      <c r="FH189" s="59"/>
      <c r="FI189" s="59"/>
      <c r="FJ189" s="59"/>
      <c r="FK189" s="59"/>
      <c r="FL189" s="59"/>
      <c r="FM189" s="59"/>
      <c r="FN189" s="59"/>
      <c r="FO189" s="59"/>
      <c r="FP189" s="59"/>
      <c r="FQ189" s="59"/>
      <c r="FR189" s="59"/>
      <c r="FS189" s="59"/>
      <c r="FT189" s="59"/>
      <c r="FU189" s="59"/>
      <c r="FV189" s="59"/>
      <c r="FW189" s="59"/>
      <c r="FX189" s="59"/>
      <c r="FY189" s="59"/>
      <c r="FZ189" s="59"/>
      <c r="GA189" s="59"/>
      <c r="GB189" s="59"/>
      <c r="GC189" s="59"/>
      <c r="GD189" s="59"/>
      <c r="GE189" s="59"/>
      <c r="GF189" s="59"/>
      <c r="GG189" s="59"/>
      <c r="GH189" s="59"/>
      <c r="GI189" s="59"/>
      <c r="GJ189" s="59"/>
      <c r="GK189" s="59"/>
      <c r="GL189" s="59"/>
      <c r="GM189" s="59"/>
      <c r="GN189" s="59"/>
      <c r="GO189" s="59"/>
      <c r="GP189" s="59"/>
      <c r="GQ189" s="59"/>
      <c r="GR189" s="59"/>
      <c r="GS189" s="59"/>
      <c r="GT189" s="59"/>
    </row>
    <row r="190" spans="1:202" ht="27" customHeight="1">
      <c r="A190" s="92"/>
      <c r="B190" s="93"/>
      <c r="C190" s="94"/>
      <c r="D190" s="94"/>
      <c r="E190" s="105"/>
      <c r="F190" s="95"/>
      <c r="G190" s="96"/>
      <c r="H190" s="96"/>
      <c r="I190" s="59"/>
      <c r="J190" s="59"/>
      <c r="K190" s="95"/>
      <c r="L190" s="95"/>
      <c r="M190" s="59"/>
      <c r="N190" s="59"/>
      <c r="O190" s="95"/>
      <c r="P190" s="59"/>
      <c r="Q190" s="59"/>
      <c r="R190" s="59"/>
      <c r="S190" s="59"/>
      <c r="T190" s="59"/>
      <c r="U190" s="98"/>
      <c r="V190" s="99"/>
      <c r="W190" s="98"/>
      <c r="X190" s="99"/>
      <c r="Y190" s="98"/>
      <c r="Z190" s="99"/>
      <c r="AA190" s="59"/>
      <c r="AB190" s="59"/>
      <c r="AC190" s="59"/>
      <c r="AD190" s="59"/>
      <c r="AE190" s="100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 t="s">
        <v>382</v>
      </c>
      <c r="DW190" s="59" t="s">
        <v>284</v>
      </c>
      <c r="DX190" s="59" t="s">
        <v>285</v>
      </c>
      <c r="DY190" s="184" t="s">
        <v>357</v>
      </c>
      <c r="DZ190" s="184" t="s">
        <v>366</v>
      </c>
      <c r="EA190" s="59">
        <f>0.27-0</f>
        <v>0.27</v>
      </c>
      <c r="EB190" s="59">
        <v>2538</v>
      </c>
      <c r="EC190" s="59" t="s">
        <v>185</v>
      </c>
      <c r="ED190" s="185">
        <v>0.543</v>
      </c>
      <c r="EE190" s="185">
        <v>1.295</v>
      </c>
      <c r="EF190" s="185">
        <v>0.419</v>
      </c>
      <c r="EG190" s="186" t="s">
        <v>376</v>
      </c>
      <c r="EH190" s="102" t="s">
        <v>289</v>
      </c>
      <c r="EI190" s="187">
        <v>0.8</v>
      </c>
      <c r="EJ190" s="187">
        <v>0.7</v>
      </c>
      <c r="EK190" s="185">
        <v>0.018</v>
      </c>
      <c r="EL190" s="185">
        <v>0.39</v>
      </c>
      <c r="EM190" s="187">
        <v>0.06</v>
      </c>
      <c r="EN190" s="187">
        <v>0.85</v>
      </c>
      <c r="EO190" s="103">
        <f t="shared" si="8"/>
        <v>0.15000000000000002</v>
      </c>
      <c r="EP190" s="59">
        <v>0.15</v>
      </c>
      <c r="EQ190" s="187">
        <v>1</v>
      </c>
      <c r="ER190" s="187">
        <v>1</v>
      </c>
      <c r="ES190" s="104">
        <v>0</v>
      </c>
      <c r="ET190" s="187">
        <v>5</v>
      </c>
      <c r="EU190" s="104">
        <v>0</v>
      </c>
      <c r="EV190" s="187">
        <v>5</v>
      </c>
      <c r="EW190" s="187">
        <v>20</v>
      </c>
      <c r="EX190" s="187">
        <v>20</v>
      </c>
      <c r="EY190" s="104">
        <v>0</v>
      </c>
      <c r="EZ190" s="104">
        <v>0</v>
      </c>
      <c r="FA190" s="104">
        <v>0</v>
      </c>
      <c r="FB190" s="104">
        <v>0</v>
      </c>
      <c r="FC190" s="59"/>
      <c r="FD190" s="59"/>
      <c r="FE190" s="59"/>
      <c r="FF190" s="59"/>
      <c r="FG190" s="59"/>
      <c r="FH190" s="59"/>
      <c r="FI190" s="59"/>
      <c r="FJ190" s="59"/>
      <c r="FK190" s="59"/>
      <c r="FL190" s="59"/>
      <c r="FM190" s="59"/>
      <c r="FN190" s="59"/>
      <c r="FO190" s="59"/>
      <c r="FP190" s="59"/>
      <c r="FQ190" s="59"/>
      <c r="FR190" s="59"/>
      <c r="FS190" s="59"/>
      <c r="FT190" s="59"/>
      <c r="FU190" s="59"/>
      <c r="FV190" s="59"/>
      <c r="FW190" s="59"/>
      <c r="FX190" s="59"/>
      <c r="FY190" s="59"/>
      <c r="FZ190" s="59"/>
      <c r="GA190" s="59"/>
      <c r="GB190" s="59"/>
      <c r="GC190" s="59"/>
      <c r="GD190" s="59"/>
      <c r="GE190" s="59"/>
      <c r="GF190" s="59"/>
      <c r="GG190" s="59"/>
      <c r="GH190" s="59"/>
      <c r="GI190" s="59"/>
      <c r="GJ190" s="59"/>
      <c r="GK190" s="59"/>
      <c r="GL190" s="59"/>
      <c r="GM190" s="59"/>
      <c r="GN190" s="59"/>
      <c r="GO190" s="59"/>
      <c r="GP190" s="59"/>
      <c r="GQ190" s="59"/>
      <c r="GR190" s="59"/>
      <c r="GS190" s="59"/>
      <c r="GT190" s="59"/>
    </row>
    <row r="191" spans="1:202" ht="27" customHeight="1">
      <c r="A191" s="92"/>
      <c r="B191" s="93"/>
      <c r="C191" s="94"/>
      <c r="D191" s="94"/>
      <c r="E191" s="105"/>
      <c r="F191" s="95"/>
      <c r="G191" s="96"/>
      <c r="H191" s="96"/>
      <c r="I191" s="59"/>
      <c r="J191" s="59"/>
      <c r="K191" s="95"/>
      <c r="L191" s="95"/>
      <c r="M191" s="59"/>
      <c r="N191" s="59"/>
      <c r="O191" s="95"/>
      <c r="P191" s="59"/>
      <c r="Q191" s="59"/>
      <c r="R191" s="59"/>
      <c r="S191" s="59"/>
      <c r="T191" s="59"/>
      <c r="U191" s="98"/>
      <c r="V191" s="99"/>
      <c r="W191" s="98"/>
      <c r="X191" s="99"/>
      <c r="Y191" s="98"/>
      <c r="Z191" s="99"/>
      <c r="AA191" s="59"/>
      <c r="AB191" s="59"/>
      <c r="AC191" s="59"/>
      <c r="AD191" s="59"/>
      <c r="AE191" s="100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 t="s">
        <v>382</v>
      </c>
      <c r="DW191" s="59" t="s">
        <v>284</v>
      </c>
      <c r="DX191" s="59" t="s">
        <v>285</v>
      </c>
      <c r="DY191" s="184" t="s">
        <v>366</v>
      </c>
      <c r="DZ191" s="184" t="s">
        <v>367</v>
      </c>
      <c r="EA191" s="59">
        <f>0.63-0.27</f>
        <v>0.36</v>
      </c>
      <c r="EB191" s="59">
        <v>2538</v>
      </c>
      <c r="EC191" s="59" t="s">
        <v>185</v>
      </c>
      <c r="ED191" s="185">
        <v>0.505</v>
      </c>
      <c r="EE191" s="185">
        <v>1.225</v>
      </c>
      <c r="EF191" s="185">
        <v>0.412</v>
      </c>
      <c r="EG191" s="186" t="s">
        <v>376</v>
      </c>
      <c r="EH191" s="102" t="s">
        <v>289</v>
      </c>
      <c r="EI191" s="187">
        <v>0.7</v>
      </c>
      <c r="EJ191" s="187">
        <v>0.7</v>
      </c>
      <c r="EK191" s="185">
        <v>0.018</v>
      </c>
      <c r="EL191" s="185">
        <v>0.38</v>
      </c>
      <c r="EM191" s="187">
        <v>0.06</v>
      </c>
      <c r="EN191" s="187">
        <v>0.85</v>
      </c>
      <c r="EO191" s="103">
        <f t="shared" si="8"/>
        <v>0.15000000000000002</v>
      </c>
      <c r="EP191" s="59">
        <v>0.15</v>
      </c>
      <c r="EQ191" s="187">
        <v>1</v>
      </c>
      <c r="ER191" s="187">
        <v>1</v>
      </c>
      <c r="ES191" s="104">
        <v>0</v>
      </c>
      <c r="ET191" s="187">
        <v>5</v>
      </c>
      <c r="EU191" s="104">
        <v>0</v>
      </c>
      <c r="EV191" s="187">
        <v>5</v>
      </c>
      <c r="EW191" s="187">
        <v>20</v>
      </c>
      <c r="EX191" s="187">
        <v>20</v>
      </c>
      <c r="EY191" s="104">
        <v>0</v>
      </c>
      <c r="EZ191" s="104">
        <v>0</v>
      </c>
      <c r="FA191" s="104">
        <v>0</v>
      </c>
      <c r="FB191" s="104">
        <v>0</v>
      </c>
      <c r="FC191" s="59"/>
      <c r="FD191" s="59"/>
      <c r="FE191" s="59"/>
      <c r="FF191" s="59"/>
      <c r="FG191" s="59"/>
      <c r="FH191" s="59"/>
      <c r="FI191" s="59"/>
      <c r="FJ191" s="59"/>
      <c r="FK191" s="59"/>
      <c r="FL191" s="59"/>
      <c r="FM191" s="59"/>
      <c r="FN191" s="59"/>
      <c r="FO191" s="59"/>
      <c r="FP191" s="59"/>
      <c r="FQ191" s="59"/>
      <c r="FR191" s="59"/>
      <c r="FS191" s="59"/>
      <c r="FT191" s="59"/>
      <c r="FU191" s="59"/>
      <c r="FV191" s="59"/>
      <c r="FW191" s="59"/>
      <c r="FX191" s="59"/>
      <c r="FY191" s="59"/>
      <c r="FZ191" s="59"/>
      <c r="GA191" s="59"/>
      <c r="GB191" s="59"/>
      <c r="GC191" s="59"/>
      <c r="GD191" s="59"/>
      <c r="GE191" s="59"/>
      <c r="GF191" s="59"/>
      <c r="GG191" s="59"/>
      <c r="GH191" s="59"/>
      <c r="GI191" s="59"/>
      <c r="GJ191" s="59"/>
      <c r="GK191" s="59"/>
      <c r="GL191" s="59"/>
      <c r="GM191" s="59"/>
      <c r="GN191" s="59"/>
      <c r="GO191" s="59"/>
      <c r="GP191" s="59"/>
      <c r="GQ191" s="59"/>
      <c r="GR191" s="59"/>
      <c r="GS191" s="59"/>
      <c r="GT191" s="59"/>
    </row>
    <row r="192" spans="1:202" ht="27" customHeight="1">
      <c r="A192" s="92"/>
      <c r="B192" s="93"/>
      <c r="C192" s="94"/>
      <c r="D192" s="94"/>
      <c r="E192" s="105"/>
      <c r="F192" s="95"/>
      <c r="G192" s="96"/>
      <c r="H192" s="96"/>
      <c r="I192" s="59"/>
      <c r="J192" s="59"/>
      <c r="K192" s="95"/>
      <c r="L192" s="95"/>
      <c r="M192" s="59"/>
      <c r="N192" s="59"/>
      <c r="O192" s="95"/>
      <c r="P192" s="59"/>
      <c r="Q192" s="59"/>
      <c r="R192" s="59"/>
      <c r="S192" s="59"/>
      <c r="T192" s="59"/>
      <c r="U192" s="98"/>
      <c r="V192" s="99"/>
      <c r="W192" s="98"/>
      <c r="X192" s="99"/>
      <c r="Y192" s="98"/>
      <c r="Z192" s="99"/>
      <c r="AA192" s="59"/>
      <c r="AB192" s="59"/>
      <c r="AC192" s="59"/>
      <c r="AD192" s="59"/>
      <c r="AE192" s="100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 t="s">
        <v>382</v>
      </c>
      <c r="DW192" s="59" t="s">
        <v>284</v>
      </c>
      <c r="DX192" s="59" t="s">
        <v>285</v>
      </c>
      <c r="DY192" s="184" t="s">
        <v>367</v>
      </c>
      <c r="DZ192" s="184" t="s">
        <v>368</v>
      </c>
      <c r="EA192" s="59">
        <f>0.86-0.63</f>
        <v>0.22999999999999998</v>
      </c>
      <c r="EB192" s="59">
        <v>2538</v>
      </c>
      <c r="EC192" s="59" t="s">
        <v>185</v>
      </c>
      <c r="ED192" s="185">
        <v>0.398</v>
      </c>
      <c r="EE192" s="185">
        <v>1.024</v>
      </c>
      <c r="EF192" s="185">
        <v>0.389</v>
      </c>
      <c r="EG192" s="186" t="s">
        <v>376</v>
      </c>
      <c r="EH192" s="102" t="s">
        <v>289</v>
      </c>
      <c r="EI192" s="187">
        <v>0.6</v>
      </c>
      <c r="EJ192" s="187">
        <v>0.65</v>
      </c>
      <c r="EK192" s="185">
        <v>0.018</v>
      </c>
      <c r="EL192" s="185">
        <v>0.348</v>
      </c>
      <c r="EM192" s="187">
        <v>0.06</v>
      </c>
      <c r="EN192" s="187">
        <v>0.8</v>
      </c>
      <c r="EO192" s="103">
        <f t="shared" si="8"/>
        <v>0.15000000000000002</v>
      </c>
      <c r="EP192" s="59">
        <v>0.15</v>
      </c>
      <c r="EQ192" s="187" t="s">
        <v>185</v>
      </c>
      <c r="ER192" s="187" t="s">
        <v>185</v>
      </c>
      <c r="ES192" s="104">
        <v>0</v>
      </c>
      <c r="ET192" s="187">
        <v>5</v>
      </c>
      <c r="EU192" s="104">
        <v>0</v>
      </c>
      <c r="EV192" s="187">
        <v>5</v>
      </c>
      <c r="EW192" s="187">
        <v>20</v>
      </c>
      <c r="EX192" s="187">
        <v>20</v>
      </c>
      <c r="EY192" s="104">
        <v>0</v>
      </c>
      <c r="EZ192" s="104">
        <v>0</v>
      </c>
      <c r="FA192" s="104">
        <v>0</v>
      </c>
      <c r="FB192" s="104">
        <v>0</v>
      </c>
      <c r="FC192" s="59"/>
      <c r="FD192" s="59"/>
      <c r="FE192" s="59"/>
      <c r="FF192" s="59"/>
      <c r="FG192" s="59"/>
      <c r="FH192" s="59"/>
      <c r="FI192" s="59"/>
      <c r="FJ192" s="59"/>
      <c r="FK192" s="59"/>
      <c r="FL192" s="59"/>
      <c r="FM192" s="59"/>
      <c r="FN192" s="59"/>
      <c r="FO192" s="59"/>
      <c r="FP192" s="59"/>
      <c r="FQ192" s="59"/>
      <c r="FR192" s="59"/>
      <c r="FS192" s="59"/>
      <c r="FT192" s="59"/>
      <c r="FU192" s="59"/>
      <c r="FV192" s="59"/>
      <c r="FW192" s="59"/>
      <c r="FX192" s="59"/>
      <c r="FY192" s="59"/>
      <c r="FZ192" s="59"/>
      <c r="GA192" s="59"/>
      <c r="GB192" s="59"/>
      <c r="GC192" s="59"/>
      <c r="GD192" s="59"/>
      <c r="GE192" s="59"/>
      <c r="GF192" s="59"/>
      <c r="GG192" s="59"/>
      <c r="GH192" s="59"/>
      <c r="GI192" s="59"/>
      <c r="GJ192" s="59"/>
      <c r="GK192" s="59"/>
      <c r="GL192" s="59"/>
      <c r="GM192" s="59"/>
      <c r="GN192" s="59"/>
      <c r="GO192" s="59"/>
      <c r="GP192" s="59"/>
      <c r="GQ192" s="59"/>
      <c r="GR192" s="59"/>
      <c r="GS192" s="59"/>
      <c r="GT192" s="59"/>
    </row>
    <row r="193" spans="1:202" ht="27" customHeight="1">
      <c r="A193" s="92"/>
      <c r="B193" s="93"/>
      <c r="C193" s="94"/>
      <c r="D193" s="94"/>
      <c r="E193" s="105"/>
      <c r="F193" s="95"/>
      <c r="G193" s="96"/>
      <c r="H193" s="96"/>
      <c r="I193" s="59"/>
      <c r="J193" s="59"/>
      <c r="K193" s="95"/>
      <c r="L193" s="95"/>
      <c r="M193" s="59"/>
      <c r="N193" s="59"/>
      <c r="O193" s="95"/>
      <c r="P193" s="59"/>
      <c r="Q193" s="59"/>
      <c r="R193" s="59"/>
      <c r="S193" s="59"/>
      <c r="T193" s="59"/>
      <c r="U193" s="98"/>
      <c r="V193" s="99"/>
      <c r="W193" s="98"/>
      <c r="X193" s="99"/>
      <c r="Y193" s="98"/>
      <c r="Z193" s="99"/>
      <c r="AA193" s="59"/>
      <c r="AB193" s="59"/>
      <c r="AC193" s="59"/>
      <c r="AD193" s="59"/>
      <c r="AE193" s="100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 t="s">
        <v>382</v>
      </c>
      <c r="DW193" s="59" t="s">
        <v>284</v>
      </c>
      <c r="DX193" s="59" t="s">
        <v>285</v>
      </c>
      <c r="DY193" s="184" t="s">
        <v>368</v>
      </c>
      <c r="DZ193" s="184" t="s">
        <v>369</v>
      </c>
      <c r="EA193" s="59">
        <f>1.35-0.86</f>
        <v>0.4900000000000001</v>
      </c>
      <c r="EB193" s="59">
        <v>2538</v>
      </c>
      <c r="EC193" s="59" t="s">
        <v>185</v>
      </c>
      <c r="ED193" s="185">
        <v>0.335</v>
      </c>
      <c r="EE193" s="185">
        <v>0.9</v>
      </c>
      <c r="EF193" s="185">
        <v>0.372</v>
      </c>
      <c r="EG193" s="186" t="s">
        <v>376</v>
      </c>
      <c r="EH193" s="102" t="s">
        <v>289</v>
      </c>
      <c r="EI193" s="187">
        <v>0.6</v>
      </c>
      <c r="EJ193" s="187">
        <v>0.6</v>
      </c>
      <c r="EK193" s="185">
        <v>0.018</v>
      </c>
      <c r="EL193" s="185">
        <v>0.326</v>
      </c>
      <c r="EM193" s="187">
        <v>0.06</v>
      </c>
      <c r="EN193" s="187">
        <v>0.75</v>
      </c>
      <c r="EO193" s="103">
        <f t="shared" si="8"/>
        <v>0.15000000000000002</v>
      </c>
      <c r="EP193" s="59">
        <v>0.15</v>
      </c>
      <c r="EQ193" s="187" t="s">
        <v>185</v>
      </c>
      <c r="ER193" s="187" t="s">
        <v>185</v>
      </c>
      <c r="ES193" s="104">
        <v>0</v>
      </c>
      <c r="ET193" s="187">
        <v>5</v>
      </c>
      <c r="EU193" s="104">
        <v>0</v>
      </c>
      <c r="EV193" s="187">
        <v>5</v>
      </c>
      <c r="EW193" s="187">
        <v>20</v>
      </c>
      <c r="EX193" s="187">
        <v>20</v>
      </c>
      <c r="EY193" s="104">
        <v>0</v>
      </c>
      <c r="EZ193" s="104">
        <v>0</v>
      </c>
      <c r="FA193" s="104">
        <v>0</v>
      </c>
      <c r="FB193" s="104">
        <v>0</v>
      </c>
      <c r="FC193" s="59"/>
      <c r="FD193" s="59"/>
      <c r="FE193" s="59"/>
      <c r="FF193" s="59"/>
      <c r="FG193" s="59"/>
      <c r="FH193" s="59"/>
      <c r="FI193" s="59"/>
      <c r="FJ193" s="59"/>
      <c r="FK193" s="59"/>
      <c r="FL193" s="59"/>
      <c r="FM193" s="59"/>
      <c r="FN193" s="59"/>
      <c r="FO193" s="59"/>
      <c r="FP193" s="59"/>
      <c r="FQ193" s="59"/>
      <c r="FR193" s="59"/>
      <c r="FS193" s="59"/>
      <c r="FT193" s="59"/>
      <c r="FU193" s="59"/>
      <c r="FV193" s="59"/>
      <c r="FW193" s="59"/>
      <c r="FX193" s="59"/>
      <c r="FY193" s="59"/>
      <c r="FZ193" s="59"/>
      <c r="GA193" s="59"/>
      <c r="GB193" s="59"/>
      <c r="GC193" s="59"/>
      <c r="GD193" s="59"/>
      <c r="GE193" s="59"/>
      <c r="GF193" s="59"/>
      <c r="GG193" s="59"/>
      <c r="GH193" s="59"/>
      <c r="GI193" s="59"/>
      <c r="GJ193" s="59"/>
      <c r="GK193" s="59"/>
      <c r="GL193" s="59"/>
      <c r="GM193" s="59"/>
      <c r="GN193" s="59"/>
      <c r="GO193" s="59"/>
      <c r="GP193" s="59"/>
      <c r="GQ193" s="59"/>
      <c r="GR193" s="59"/>
      <c r="GS193" s="59"/>
      <c r="GT193" s="59"/>
    </row>
    <row r="194" spans="1:202" ht="27" customHeight="1">
      <c r="A194" s="92"/>
      <c r="B194" s="93"/>
      <c r="C194" s="94"/>
      <c r="D194" s="94"/>
      <c r="E194" s="105"/>
      <c r="F194" s="95"/>
      <c r="G194" s="96"/>
      <c r="H194" s="96"/>
      <c r="I194" s="59"/>
      <c r="J194" s="59"/>
      <c r="K194" s="95"/>
      <c r="L194" s="95"/>
      <c r="M194" s="59"/>
      <c r="N194" s="59"/>
      <c r="O194" s="95"/>
      <c r="P194" s="59"/>
      <c r="Q194" s="59"/>
      <c r="R194" s="59"/>
      <c r="S194" s="59"/>
      <c r="T194" s="59"/>
      <c r="U194" s="98"/>
      <c r="V194" s="99"/>
      <c r="W194" s="98"/>
      <c r="X194" s="99"/>
      <c r="Y194" s="98"/>
      <c r="Z194" s="99"/>
      <c r="AA194" s="59"/>
      <c r="AB194" s="59"/>
      <c r="AC194" s="59"/>
      <c r="AD194" s="59"/>
      <c r="AE194" s="100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 t="s">
        <v>382</v>
      </c>
      <c r="DW194" s="59" t="s">
        <v>284</v>
      </c>
      <c r="DX194" s="59" t="s">
        <v>285</v>
      </c>
      <c r="DY194" s="184" t="s">
        <v>369</v>
      </c>
      <c r="DZ194" s="184" t="s">
        <v>370</v>
      </c>
      <c r="EA194" s="59">
        <f>3-1.35</f>
        <v>1.65</v>
      </c>
      <c r="EB194" s="59">
        <v>2538</v>
      </c>
      <c r="EC194" s="59" t="s">
        <v>185</v>
      </c>
      <c r="ED194" s="185">
        <v>0.253</v>
      </c>
      <c r="EE194" s="185">
        <v>0.729</v>
      </c>
      <c r="EF194" s="185">
        <v>0.347</v>
      </c>
      <c r="EG194" s="186" t="s">
        <v>376</v>
      </c>
      <c r="EH194" s="102" t="s">
        <v>289</v>
      </c>
      <c r="EI194" s="187">
        <v>0.5</v>
      </c>
      <c r="EJ194" s="187">
        <v>0.55</v>
      </c>
      <c r="EK194" s="185">
        <v>0.018</v>
      </c>
      <c r="EL194" s="185">
        <v>0.293</v>
      </c>
      <c r="EM194" s="187">
        <v>0.06</v>
      </c>
      <c r="EN194" s="187">
        <v>0.7</v>
      </c>
      <c r="EO194" s="103">
        <f t="shared" si="8"/>
        <v>0.1499999999999999</v>
      </c>
      <c r="EP194" s="59">
        <v>0.15</v>
      </c>
      <c r="EQ194" s="187" t="s">
        <v>185</v>
      </c>
      <c r="ER194" s="187" t="s">
        <v>185</v>
      </c>
      <c r="ES194" s="104">
        <v>0</v>
      </c>
      <c r="ET194" s="187">
        <v>5</v>
      </c>
      <c r="EU194" s="104">
        <v>0</v>
      </c>
      <c r="EV194" s="187">
        <v>5</v>
      </c>
      <c r="EW194" s="187">
        <v>20</v>
      </c>
      <c r="EX194" s="187">
        <v>20</v>
      </c>
      <c r="EY194" s="104">
        <v>0</v>
      </c>
      <c r="EZ194" s="104">
        <v>0</v>
      </c>
      <c r="FA194" s="104">
        <v>0</v>
      </c>
      <c r="FB194" s="104">
        <v>0</v>
      </c>
      <c r="FC194" s="59"/>
      <c r="FD194" s="59"/>
      <c r="FE194" s="59"/>
      <c r="FF194" s="59"/>
      <c r="FG194" s="59"/>
      <c r="FH194" s="59"/>
      <c r="FI194" s="59"/>
      <c r="FJ194" s="59"/>
      <c r="FK194" s="59"/>
      <c r="FL194" s="59"/>
      <c r="FM194" s="59"/>
      <c r="FN194" s="59"/>
      <c r="FO194" s="59"/>
      <c r="FP194" s="59"/>
      <c r="FQ194" s="59"/>
      <c r="FR194" s="59"/>
      <c r="FS194" s="59"/>
      <c r="FT194" s="59"/>
      <c r="FU194" s="59"/>
      <c r="FV194" s="59"/>
      <c r="FW194" s="59"/>
      <c r="FX194" s="59"/>
      <c r="FY194" s="59"/>
      <c r="FZ194" s="59"/>
      <c r="GA194" s="59"/>
      <c r="GB194" s="59"/>
      <c r="GC194" s="59"/>
      <c r="GD194" s="59"/>
      <c r="GE194" s="59"/>
      <c r="GF194" s="59"/>
      <c r="GG194" s="59"/>
      <c r="GH194" s="59"/>
      <c r="GI194" s="59"/>
      <c r="GJ194" s="59"/>
      <c r="GK194" s="59"/>
      <c r="GL194" s="59"/>
      <c r="GM194" s="59"/>
      <c r="GN194" s="59"/>
      <c r="GO194" s="59"/>
      <c r="GP194" s="59"/>
      <c r="GQ194" s="59"/>
      <c r="GR194" s="59"/>
      <c r="GS194" s="59"/>
      <c r="GT194" s="59"/>
    </row>
    <row r="195" spans="1:202" ht="27" customHeight="1">
      <c r="A195" s="92"/>
      <c r="B195" s="93"/>
      <c r="C195" s="94"/>
      <c r="D195" s="94"/>
      <c r="E195" s="105"/>
      <c r="F195" s="95"/>
      <c r="G195" s="96"/>
      <c r="H195" s="96"/>
      <c r="I195" s="59"/>
      <c r="J195" s="59"/>
      <c r="K195" s="95"/>
      <c r="L195" s="95"/>
      <c r="M195" s="59"/>
      <c r="N195" s="59"/>
      <c r="O195" s="95"/>
      <c r="P195" s="59"/>
      <c r="Q195" s="59"/>
      <c r="R195" s="59"/>
      <c r="S195" s="59"/>
      <c r="T195" s="59"/>
      <c r="U195" s="98"/>
      <c r="V195" s="99"/>
      <c r="W195" s="98"/>
      <c r="X195" s="99"/>
      <c r="Y195" s="98"/>
      <c r="Z195" s="99"/>
      <c r="AA195" s="59"/>
      <c r="AB195" s="59"/>
      <c r="AC195" s="59"/>
      <c r="AD195" s="59"/>
      <c r="AE195" s="100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 t="s">
        <v>383</v>
      </c>
      <c r="DW195" s="59" t="s">
        <v>284</v>
      </c>
      <c r="DX195" s="59" t="s">
        <v>285</v>
      </c>
      <c r="DY195" s="184" t="s">
        <v>357</v>
      </c>
      <c r="DZ195" s="184" t="s">
        <v>371</v>
      </c>
      <c r="EA195" s="59">
        <f>0.45-0</f>
        <v>0.45</v>
      </c>
      <c r="EB195" s="59">
        <v>2538</v>
      </c>
      <c r="EC195" s="59" t="s">
        <v>185</v>
      </c>
      <c r="ED195" s="185">
        <v>0.505</v>
      </c>
      <c r="EE195" s="185">
        <v>1.225</v>
      </c>
      <c r="EF195" s="185">
        <v>0.412</v>
      </c>
      <c r="EG195" s="186" t="s">
        <v>376</v>
      </c>
      <c r="EH195" s="102" t="s">
        <v>289</v>
      </c>
      <c r="EI195" s="187">
        <v>0.7</v>
      </c>
      <c r="EJ195" s="187">
        <v>0.7</v>
      </c>
      <c r="EK195" s="185">
        <v>0.018</v>
      </c>
      <c r="EL195" s="185">
        <v>0.38</v>
      </c>
      <c r="EM195" s="187">
        <v>0.06</v>
      </c>
      <c r="EN195" s="187">
        <v>0.85</v>
      </c>
      <c r="EO195" s="103">
        <f t="shared" si="8"/>
        <v>0.15000000000000002</v>
      </c>
      <c r="EP195" s="59">
        <v>0.15</v>
      </c>
      <c r="EQ195" s="187">
        <v>1</v>
      </c>
      <c r="ER195" s="187">
        <v>1</v>
      </c>
      <c r="ES195" s="104">
        <v>0</v>
      </c>
      <c r="ET195" s="187">
        <v>2</v>
      </c>
      <c r="EU195" s="104">
        <v>0</v>
      </c>
      <c r="EV195" s="187">
        <v>5</v>
      </c>
      <c r="EW195" s="187">
        <v>15</v>
      </c>
      <c r="EX195" s="187">
        <v>20</v>
      </c>
      <c r="EY195" s="104">
        <v>0</v>
      </c>
      <c r="EZ195" s="104">
        <v>0</v>
      </c>
      <c r="FA195" s="104">
        <v>0</v>
      </c>
      <c r="FB195" s="104">
        <v>0</v>
      </c>
      <c r="FC195" s="59"/>
      <c r="FD195" s="59"/>
      <c r="FE195" s="59"/>
      <c r="FF195" s="59"/>
      <c r="FG195" s="59"/>
      <c r="FH195" s="59"/>
      <c r="FI195" s="59"/>
      <c r="FJ195" s="59"/>
      <c r="FK195" s="59"/>
      <c r="FL195" s="59"/>
      <c r="FM195" s="59"/>
      <c r="FN195" s="59"/>
      <c r="FO195" s="59"/>
      <c r="FP195" s="59"/>
      <c r="FQ195" s="59"/>
      <c r="FR195" s="59"/>
      <c r="FS195" s="59"/>
      <c r="FT195" s="59"/>
      <c r="FU195" s="59"/>
      <c r="FV195" s="59"/>
      <c r="FW195" s="59"/>
      <c r="FX195" s="59"/>
      <c r="FY195" s="59"/>
      <c r="FZ195" s="59"/>
      <c r="GA195" s="59"/>
      <c r="GB195" s="59"/>
      <c r="GC195" s="59"/>
      <c r="GD195" s="59"/>
      <c r="GE195" s="59"/>
      <c r="GF195" s="59"/>
      <c r="GG195" s="59"/>
      <c r="GH195" s="59"/>
      <c r="GI195" s="59"/>
      <c r="GJ195" s="59"/>
      <c r="GK195" s="59"/>
      <c r="GL195" s="59"/>
      <c r="GM195" s="59"/>
      <c r="GN195" s="59"/>
      <c r="GO195" s="59"/>
      <c r="GP195" s="59"/>
      <c r="GQ195" s="59"/>
      <c r="GR195" s="59"/>
      <c r="GS195" s="59"/>
      <c r="GT195" s="59"/>
    </row>
    <row r="196" spans="1:202" ht="27" customHeight="1">
      <c r="A196" s="92"/>
      <c r="B196" s="93"/>
      <c r="C196" s="94"/>
      <c r="D196" s="94"/>
      <c r="E196" s="105"/>
      <c r="F196" s="95"/>
      <c r="G196" s="96"/>
      <c r="H196" s="96"/>
      <c r="I196" s="59"/>
      <c r="J196" s="59"/>
      <c r="K196" s="95"/>
      <c r="L196" s="95"/>
      <c r="M196" s="59"/>
      <c r="N196" s="59"/>
      <c r="O196" s="95"/>
      <c r="P196" s="59"/>
      <c r="Q196" s="59"/>
      <c r="R196" s="59"/>
      <c r="S196" s="59"/>
      <c r="T196" s="59"/>
      <c r="U196" s="98"/>
      <c r="V196" s="99"/>
      <c r="W196" s="98"/>
      <c r="X196" s="99"/>
      <c r="Y196" s="98"/>
      <c r="Z196" s="99"/>
      <c r="AA196" s="59"/>
      <c r="AB196" s="59"/>
      <c r="AC196" s="59"/>
      <c r="AD196" s="59"/>
      <c r="AE196" s="100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 t="s">
        <v>383</v>
      </c>
      <c r="DW196" s="59" t="s">
        <v>284</v>
      </c>
      <c r="DX196" s="59" t="s">
        <v>285</v>
      </c>
      <c r="DY196" s="184" t="s">
        <v>371</v>
      </c>
      <c r="DZ196" s="184" t="s">
        <v>372</v>
      </c>
      <c r="EA196" s="59">
        <f>1.915-0.45</f>
        <v>1.465</v>
      </c>
      <c r="EB196" s="59">
        <v>2538</v>
      </c>
      <c r="EC196" s="59" t="s">
        <v>185</v>
      </c>
      <c r="ED196" s="185">
        <v>0.431</v>
      </c>
      <c r="EE196" s="185">
        <v>1.089</v>
      </c>
      <c r="EF196" s="185">
        <v>0.396</v>
      </c>
      <c r="EG196" s="186" t="s">
        <v>376</v>
      </c>
      <c r="EH196" s="102" t="s">
        <v>289</v>
      </c>
      <c r="EI196" s="187">
        <v>0.7</v>
      </c>
      <c r="EJ196" s="187">
        <v>0.65</v>
      </c>
      <c r="EK196" s="185">
        <v>0.018</v>
      </c>
      <c r="EL196" s="185">
        <v>0.358</v>
      </c>
      <c r="EM196" s="187">
        <v>0.06</v>
      </c>
      <c r="EN196" s="187">
        <v>0.8</v>
      </c>
      <c r="EO196" s="103">
        <f t="shared" si="8"/>
        <v>0.15000000000000002</v>
      </c>
      <c r="EP196" s="59">
        <v>0.15</v>
      </c>
      <c r="EQ196" s="187" t="s">
        <v>185</v>
      </c>
      <c r="ER196" s="187" t="s">
        <v>185</v>
      </c>
      <c r="ES196" s="104">
        <v>0</v>
      </c>
      <c r="ET196" s="187">
        <v>2</v>
      </c>
      <c r="EU196" s="104">
        <v>0</v>
      </c>
      <c r="EV196" s="187">
        <v>5</v>
      </c>
      <c r="EW196" s="187">
        <v>15</v>
      </c>
      <c r="EX196" s="187">
        <v>20</v>
      </c>
      <c r="EY196" s="104">
        <v>0</v>
      </c>
      <c r="EZ196" s="104">
        <v>0</v>
      </c>
      <c r="FA196" s="104">
        <v>0</v>
      </c>
      <c r="FB196" s="104">
        <v>0</v>
      </c>
      <c r="FC196" s="59"/>
      <c r="FD196" s="59"/>
      <c r="FE196" s="59"/>
      <c r="FF196" s="59"/>
      <c r="FG196" s="59"/>
      <c r="FH196" s="59"/>
      <c r="FI196" s="59"/>
      <c r="FJ196" s="59"/>
      <c r="FK196" s="59"/>
      <c r="FL196" s="59"/>
      <c r="FM196" s="59"/>
      <c r="FN196" s="59"/>
      <c r="FO196" s="59"/>
      <c r="FP196" s="59"/>
      <c r="FQ196" s="59"/>
      <c r="FR196" s="59"/>
      <c r="FS196" s="59"/>
      <c r="FT196" s="59"/>
      <c r="FU196" s="59"/>
      <c r="FV196" s="59"/>
      <c r="FW196" s="59"/>
      <c r="FX196" s="59"/>
      <c r="FY196" s="59"/>
      <c r="FZ196" s="59"/>
      <c r="GA196" s="59"/>
      <c r="GB196" s="59"/>
      <c r="GC196" s="59"/>
      <c r="GD196" s="59"/>
      <c r="GE196" s="59"/>
      <c r="GF196" s="59"/>
      <c r="GG196" s="59"/>
      <c r="GH196" s="59"/>
      <c r="GI196" s="59"/>
      <c r="GJ196" s="59"/>
      <c r="GK196" s="59"/>
      <c r="GL196" s="59"/>
      <c r="GM196" s="59"/>
      <c r="GN196" s="59"/>
      <c r="GO196" s="59"/>
      <c r="GP196" s="59"/>
      <c r="GQ196" s="59"/>
      <c r="GR196" s="59"/>
      <c r="GS196" s="59"/>
      <c r="GT196" s="59"/>
    </row>
    <row r="197" spans="1:202" ht="27" customHeight="1">
      <c r="A197" s="92"/>
      <c r="B197" s="93"/>
      <c r="C197" s="94"/>
      <c r="D197" s="94"/>
      <c r="E197" s="105"/>
      <c r="F197" s="95"/>
      <c r="G197" s="96"/>
      <c r="H197" s="96"/>
      <c r="I197" s="59"/>
      <c r="J197" s="59"/>
      <c r="K197" s="95"/>
      <c r="L197" s="95"/>
      <c r="M197" s="59"/>
      <c r="N197" s="59"/>
      <c r="O197" s="95"/>
      <c r="P197" s="59"/>
      <c r="Q197" s="59"/>
      <c r="R197" s="59"/>
      <c r="S197" s="59"/>
      <c r="T197" s="59"/>
      <c r="U197" s="98"/>
      <c r="V197" s="99"/>
      <c r="W197" s="98"/>
      <c r="X197" s="99"/>
      <c r="Y197" s="98"/>
      <c r="Z197" s="99"/>
      <c r="AA197" s="59"/>
      <c r="AB197" s="59"/>
      <c r="AC197" s="59"/>
      <c r="AD197" s="59"/>
      <c r="AE197" s="100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 t="s">
        <v>383</v>
      </c>
      <c r="DW197" s="59" t="s">
        <v>284</v>
      </c>
      <c r="DX197" s="59" t="s">
        <v>285</v>
      </c>
      <c r="DY197" s="184" t="s">
        <v>372</v>
      </c>
      <c r="DZ197" s="184" t="s">
        <v>333</v>
      </c>
      <c r="EA197" s="59">
        <f>3.5-1.915</f>
        <v>1.585</v>
      </c>
      <c r="EB197" s="59">
        <v>2538</v>
      </c>
      <c r="EC197" s="59" t="s">
        <v>185</v>
      </c>
      <c r="ED197" s="185">
        <v>0.206</v>
      </c>
      <c r="EE197" s="185">
        <v>0.625</v>
      </c>
      <c r="EF197" s="185">
        <v>0.329</v>
      </c>
      <c r="EG197" s="186" t="s">
        <v>376</v>
      </c>
      <c r="EH197" s="102" t="s">
        <v>289</v>
      </c>
      <c r="EI197" s="187">
        <v>0.5</v>
      </c>
      <c r="EJ197" s="187">
        <v>0.5</v>
      </c>
      <c r="EK197" s="185">
        <v>0.018</v>
      </c>
      <c r="EL197" s="185">
        <v>0.271</v>
      </c>
      <c r="EM197" s="187">
        <v>0.06</v>
      </c>
      <c r="EN197" s="187">
        <v>0.65</v>
      </c>
      <c r="EO197" s="103">
        <f t="shared" si="8"/>
        <v>0.15000000000000002</v>
      </c>
      <c r="EP197" s="59">
        <v>0.15</v>
      </c>
      <c r="EQ197" s="187" t="s">
        <v>185</v>
      </c>
      <c r="ER197" s="187" t="s">
        <v>185</v>
      </c>
      <c r="ES197" s="104">
        <v>0</v>
      </c>
      <c r="ET197" s="187">
        <v>2</v>
      </c>
      <c r="EU197" s="104">
        <v>0</v>
      </c>
      <c r="EV197" s="187">
        <v>5</v>
      </c>
      <c r="EW197" s="187">
        <v>15</v>
      </c>
      <c r="EX197" s="187">
        <v>20</v>
      </c>
      <c r="EY197" s="104">
        <v>0</v>
      </c>
      <c r="EZ197" s="104">
        <v>0</v>
      </c>
      <c r="FA197" s="104">
        <v>0</v>
      </c>
      <c r="FB197" s="104">
        <v>0</v>
      </c>
      <c r="FC197" s="59"/>
      <c r="FD197" s="59"/>
      <c r="FE197" s="59"/>
      <c r="FF197" s="59"/>
      <c r="FG197" s="59"/>
      <c r="FH197" s="59"/>
      <c r="FI197" s="59"/>
      <c r="FJ197" s="59"/>
      <c r="FK197" s="59"/>
      <c r="FL197" s="59"/>
      <c r="FM197" s="59"/>
      <c r="FN197" s="59"/>
      <c r="FO197" s="59"/>
      <c r="FP197" s="59"/>
      <c r="FQ197" s="59"/>
      <c r="FR197" s="59"/>
      <c r="FS197" s="59"/>
      <c r="FT197" s="59"/>
      <c r="FU197" s="59"/>
      <c r="FV197" s="59"/>
      <c r="FW197" s="59"/>
      <c r="FX197" s="59"/>
      <c r="FY197" s="59"/>
      <c r="FZ197" s="59"/>
      <c r="GA197" s="59"/>
      <c r="GB197" s="59"/>
      <c r="GC197" s="59"/>
      <c r="GD197" s="59"/>
      <c r="GE197" s="59"/>
      <c r="GF197" s="59"/>
      <c r="GG197" s="59"/>
      <c r="GH197" s="59"/>
      <c r="GI197" s="59"/>
      <c r="GJ197" s="59"/>
      <c r="GK197" s="59"/>
      <c r="GL197" s="59"/>
      <c r="GM197" s="59"/>
      <c r="GN197" s="59"/>
      <c r="GO197" s="59"/>
      <c r="GP197" s="59"/>
      <c r="GQ197" s="59"/>
      <c r="GR197" s="59"/>
      <c r="GS197" s="59"/>
      <c r="GT197" s="59"/>
    </row>
    <row r="198" spans="1:202" ht="27" customHeight="1">
      <c r="A198" s="92"/>
      <c r="B198" s="93"/>
      <c r="C198" s="94"/>
      <c r="D198" s="94"/>
      <c r="E198" s="105"/>
      <c r="F198" s="95"/>
      <c r="G198" s="96"/>
      <c r="H198" s="96"/>
      <c r="I198" s="59"/>
      <c r="J198" s="59"/>
      <c r="K198" s="95"/>
      <c r="L198" s="95"/>
      <c r="M198" s="59"/>
      <c r="N198" s="59"/>
      <c r="O198" s="95"/>
      <c r="P198" s="59"/>
      <c r="Q198" s="59"/>
      <c r="R198" s="59"/>
      <c r="S198" s="59"/>
      <c r="T198" s="59"/>
      <c r="U198" s="98"/>
      <c r="V198" s="99"/>
      <c r="W198" s="98"/>
      <c r="X198" s="99"/>
      <c r="Y198" s="98"/>
      <c r="Z198" s="99"/>
      <c r="AA198" s="59"/>
      <c r="AB198" s="59"/>
      <c r="AC198" s="59"/>
      <c r="AD198" s="59"/>
      <c r="AE198" s="100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 t="s">
        <v>383</v>
      </c>
      <c r="DW198" s="59" t="s">
        <v>284</v>
      </c>
      <c r="DX198" s="59" t="s">
        <v>285</v>
      </c>
      <c r="DY198" s="184" t="s">
        <v>333</v>
      </c>
      <c r="DZ198" s="184" t="s">
        <v>373</v>
      </c>
      <c r="EA198" s="59">
        <f>3.6-3.5</f>
        <v>0.10000000000000009</v>
      </c>
      <c r="EB198" s="59">
        <v>2538</v>
      </c>
      <c r="EC198" s="59" t="s">
        <v>185</v>
      </c>
      <c r="ED198" s="185">
        <v>0.206</v>
      </c>
      <c r="EE198" s="185">
        <v>0.625</v>
      </c>
      <c r="EF198" s="185">
        <v>0.329</v>
      </c>
      <c r="EG198" s="186" t="s">
        <v>376</v>
      </c>
      <c r="EH198" s="102" t="s">
        <v>289</v>
      </c>
      <c r="EI198" s="187">
        <v>0.5</v>
      </c>
      <c r="EJ198" s="187">
        <v>0.5</v>
      </c>
      <c r="EK198" s="185">
        <v>0.018</v>
      </c>
      <c r="EL198" s="185">
        <v>0.271</v>
      </c>
      <c r="EM198" s="187">
        <v>0.06</v>
      </c>
      <c r="EN198" s="187">
        <v>0.65</v>
      </c>
      <c r="EO198" s="103">
        <f t="shared" si="8"/>
        <v>0.15000000000000002</v>
      </c>
      <c r="EP198" s="59">
        <v>0.15</v>
      </c>
      <c r="EQ198" s="187" t="s">
        <v>185</v>
      </c>
      <c r="ER198" s="187" t="s">
        <v>185</v>
      </c>
      <c r="ES198" s="104">
        <v>0</v>
      </c>
      <c r="ET198" s="187">
        <v>2</v>
      </c>
      <c r="EU198" s="104">
        <v>0</v>
      </c>
      <c r="EV198" s="187">
        <v>5</v>
      </c>
      <c r="EW198" s="187">
        <v>15</v>
      </c>
      <c r="EX198" s="187">
        <v>20</v>
      </c>
      <c r="EY198" s="104">
        <v>0</v>
      </c>
      <c r="EZ198" s="104">
        <v>0</v>
      </c>
      <c r="FA198" s="104">
        <v>0</v>
      </c>
      <c r="FB198" s="104">
        <v>0</v>
      </c>
      <c r="FC198" s="59"/>
      <c r="FD198" s="59"/>
      <c r="FE198" s="59"/>
      <c r="FF198" s="59"/>
      <c r="FG198" s="59"/>
      <c r="FH198" s="59"/>
      <c r="FI198" s="59"/>
      <c r="FJ198" s="59"/>
      <c r="FK198" s="59"/>
      <c r="FL198" s="59"/>
      <c r="FM198" s="59"/>
      <c r="FN198" s="59"/>
      <c r="FO198" s="59"/>
      <c r="FP198" s="59"/>
      <c r="FQ198" s="59"/>
      <c r="FR198" s="59"/>
      <c r="FS198" s="59"/>
      <c r="FT198" s="59"/>
      <c r="FU198" s="59"/>
      <c r="FV198" s="59"/>
      <c r="FW198" s="59"/>
      <c r="FX198" s="59"/>
      <c r="FY198" s="59"/>
      <c r="FZ198" s="59"/>
      <c r="GA198" s="59"/>
      <c r="GB198" s="59"/>
      <c r="GC198" s="59"/>
      <c r="GD198" s="59"/>
      <c r="GE198" s="59"/>
      <c r="GF198" s="59"/>
      <c r="GG198" s="59"/>
      <c r="GH198" s="59"/>
      <c r="GI198" s="59"/>
      <c r="GJ198" s="59"/>
      <c r="GK198" s="59"/>
      <c r="GL198" s="59"/>
      <c r="GM198" s="59"/>
      <c r="GN198" s="59"/>
      <c r="GO198" s="59"/>
      <c r="GP198" s="59"/>
      <c r="GQ198" s="59"/>
      <c r="GR198" s="59"/>
      <c r="GS198" s="59"/>
      <c r="GT198" s="59"/>
    </row>
    <row r="199" spans="1:202" ht="27" customHeight="1">
      <c r="A199" s="92"/>
      <c r="B199" s="92"/>
      <c r="C199" s="94"/>
      <c r="D199" s="94"/>
      <c r="E199" s="105"/>
      <c r="F199" s="95"/>
      <c r="G199" s="59"/>
      <c r="H199" s="59"/>
      <c r="I199" s="59"/>
      <c r="J199" s="59"/>
      <c r="K199" s="95"/>
      <c r="L199" s="95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 t="s">
        <v>384</v>
      </c>
      <c r="DW199" s="59" t="s">
        <v>284</v>
      </c>
      <c r="DX199" s="59" t="s">
        <v>285</v>
      </c>
      <c r="DY199" s="184" t="s">
        <v>357</v>
      </c>
      <c r="DZ199" s="184" t="s">
        <v>374</v>
      </c>
      <c r="EA199" s="59">
        <f>1.7-0</f>
        <v>1.7</v>
      </c>
      <c r="EB199" s="59">
        <v>2538</v>
      </c>
      <c r="EC199" s="59" t="s">
        <v>185</v>
      </c>
      <c r="ED199" s="185">
        <v>0.235</v>
      </c>
      <c r="EE199" s="185">
        <v>0.729</v>
      </c>
      <c r="EF199" s="185">
        <v>0.347</v>
      </c>
      <c r="EG199" s="186" t="s">
        <v>376</v>
      </c>
      <c r="EH199" s="102" t="s">
        <v>289</v>
      </c>
      <c r="EI199" s="187">
        <v>0.5</v>
      </c>
      <c r="EJ199" s="187">
        <v>0.55</v>
      </c>
      <c r="EK199" s="185">
        <v>0.018</v>
      </c>
      <c r="EL199" s="185">
        <v>0.239</v>
      </c>
      <c r="EM199" s="187">
        <v>0.06</v>
      </c>
      <c r="EN199" s="187">
        <v>0.7</v>
      </c>
      <c r="EO199" s="103">
        <f t="shared" si="8"/>
        <v>0.1499999999999999</v>
      </c>
      <c r="EP199" s="59">
        <v>0.15</v>
      </c>
      <c r="EQ199" s="187" t="s">
        <v>185</v>
      </c>
      <c r="ER199" s="187" t="s">
        <v>185</v>
      </c>
      <c r="ES199" s="104">
        <v>0</v>
      </c>
      <c r="ET199" s="187">
        <v>5</v>
      </c>
      <c r="EU199" s="104">
        <v>0</v>
      </c>
      <c r="EV199" s="187">
        <v>5</v>
      </c>
      <c r="EW199" s="187">
        <v>20</v>
      </c>
      <c r="EX199" s="187">
        <v>20</v>
      </c>
      <c r="EY199" s="104">
        <v>0</v>
      </c>
      <c r="EZ199" s="104">
        <v>0</v>
      </c>
      <c r="FA199" s="104">
        <v>0</v>
      </c>
      <c r="FB199" s="104">
        <v>0</v>
      </c>
      <c r="FC199" s="59"/>
      <c r="FD199" s="59"/>
      <c r="FE199" s="59"/>
      <c r="FF199" s="59"/>
      <c r="FG199" s="59"/>
      <c r="FH199" s="59"/>
      <c r="FI199" s="59"/>
      <c r="FJ199" s="59"/>
      <c r="FK199" s="59"/>
      <c r="FL199" s="59"/>
      <c r="FM199" s="59"/>
      <c r="FN199" s="59"/>
      <c r="FO199" s="59"/>
      <c r="FP199" s="59"/>
      <c r="FQ199" s="59"/>
      <c r="FR199" s="59"/>
      <c r="FS199" s="59"/>
      <c r="FT199" s="59"/>
      <c r="FU199" s="59"/>
      <c r="FV199" s="59"/>
      <c r="FW199" s="59"/>
      <c r="FX199" s="59"/>
      <c r="FY199" s="59"/>
      <c r="FZ199" s="59"/>
      <c r="GA199" s="59"/>
      <c r="GB199" s="59"/>
      <c r="GC199" s="59"/>
      <c r="GD199" s="59"/>
      <c r="GE199" s="59"/>
      <c r="GF199" s="59"/>
      <c r="GG199" s="59"/>
      <c r="GH199" s="59"/>
      <c r="GI199" s="59"/>
      <c r="GJ199" s="59"/>
      <c r="GK199" s="59"/>
      <c r="GL199" s="59"/>
      <c r="GM199" s="59"/>
      <c r="GN199" s="59"/>
      <c r="GO199" s="59"/>
      <c r="GP199" s="59"/>
      <c r="GQ199" s="59"/>
      <c r="GR199" s="59"/>
      <c r="GS199" s="59"/>
      <c r="GT199" s="59"/>
    </row>
    <row r="200" spans="1:202" ht="27" customHeight="1">
      <c r="A200" s="92"/>
      <c r="B200" s="92"/>
      <c r="C200" s="94"/>
      <c r="D200" s="94"/>
      <c r="E200" s="105"/>
      <c r="F200" s="95"/>
      <c r="G200" s="59"/>
      <c r="H200" s="59"/>
      <c r="I200" s="59"/>
      <c r="J200" s="59"/>
      <c r="K200" s="95"/>
      <c r="L200" s="95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 t="s">
        <v>384</v>
      </c>
      <c r="DW200" s="59" t="s">
        <v>284</v>
      </c>
      <c r="DX200" s="59" t="s">
        <v>285</v>
      </c>
      <c r="DY200" s="184" t="s">
        <v>374</v>
      </c>
      <c r="DZ200" s="184" t="s">
        <v>375</v>
      </c>
      <c r="EA200" s="59">
        <f>2.35-1.7</f>
        <v>0.6500000000000001</v>
      </c>
      <c r="EB200" s="59">
        <v>2538</v>
      </c>
      <c r="EC200" s="59" t="s">
        <v>185</v>
      </c>
      <c r="ED200" s="185">
        <v>0.206</v>
      </c>
      <c r="EE200" s="185">
        <v>0.625</v>
      </c>
      <c r="EF200" s="185">
        <v>0.329</v>
      </c>
      <c r="EG200" s="186" t="s">
        <v>376</v>
      </c>
      <c r="EH200" s="102" t="s">
        <v>289</v>
      </c>
      <c r="EI200" s="187">
        <v>0.5</v>
      </c>
      <c r="EJ200" s="187">
        <v>0.5</v>
      </c>
      <c r="EK200" s="185">
        <v>0.018</v>
      </c>
      <c r="EL200" s="185">
        <v>0.271</v>
      </c>
      <c r="EM200" s="187">
        <v>0.06</v>
      </c>
      <c r="EN200" s="187">
        <v>0.65</v>
      </c>
      <c r="EO200" s="103">
        <f t="shared" si="8"/>
        <v>0.15000000000000002</v>
      </c>
      <c r="EP200" s="59">
        <v>0.15</v>
      </c>
      <c r="EQ200" s="187" t="s">
        <v>185</v>
      </c>
      <c r="ER200" s="187" t="s">
        <v>185</v>
      </c>
      <c r="ES200" s="104">
        <v>0</v>
      </c>
      <c r="ET200" s="187">
        <v>5</v>
      </c>
      <c r="EU200" s="104">
        <v>0</v>
      </c>
      <c r="EV200" s="187">
        <v>5</v>
      </c>
      <c r="EW200" s="187">
        <v>20</v>
      </c>
      <c r="EX200" s="187">
        <v>20</v>
      </c>
      <c r="EY200" s="104">
        <v>0</v>
      </c>
      <c r="EZ200" s="104">
        <v>0</v>
      </c>
      <c r="FA200" s="104">
        <v>0</v>
      </c>
      <c r="FB200" s="104">
        <v>0</v>
      </c>
      <c r="FC200" s="59"/>
      <c r="FD200" s="59"/>
      <c r="FE200" s="59"/>
      <c r="FF200" s="59"/>
      <c r="FG200" s="59"/>
      <c r="FH200" s="59"/>
      <c r="FI200" s="59"/>
      <c r="FJ200" s="59"/>
      <c r="FK200" s="59"/>
      <c r="FL200" s="59"/>
      <c r="FM200" s="59"/>
      <c r="FN200" s="59"/>
      <c r="FO200" s="59"/>
      <c r="FP200" s="59"/>
      <c r="FQ200" s="59"/>
      <c r="FR200" s="59"/>
      <c r="FS200" s="59"/>
      <c r="FT200" s="59"/>
      <c r="FU200" s="59"/>
      <c r="FV200" s="59"/>
      <c r="FW200" s="59"/>
      <c r="FX200" s="59"/>
      <c r="FY200" s="59"/>
      <c r="FZ200" s="59"/>
      <c r="GA200" s="59"/>
      <c r="GB200" s="59"/>
      <c r="GC200" s="59"/>
      <c r="GD200" s="59"/>
      <c r="GE200" s="59"/>
      <c r="GF200" s="59"/>
      <c r="GG200" s="59"/>
      <c r="GH200" s="59"/>
      <c r="GI200" s="59"/>
      <c r="GJ200" s="59"/>
      <c r="GK200" s="59"/>
      <c r="GL200" s="59"/>
      <c r="GM200" s="59"/>
      <c r="GN200" s="59"/>
      <c r="GO200" s="59"/>
      <c r="GP200" s="59"/>
      <c r="GQ200" s="59"/>
      <c r="GR200" s="59"/>
      <c r="GS200" s="59"/>
      <c r="GT200" s="59"/>
    </row>
    <row r="201" spans="1:202" ht="27" customHeight="1">
      <c r="A201" s="92"/>
      <c r="B201" s="92"/>
      <c r="C201" s="94"/>
      <c r="D201" s="94"/>
      <c r="E201" s="105"/>
      <c r="F201" s="95"/>
      <c r="G201" s="59"/>
      <c r="H201" s="59"/>
      <c r="I201" s="59"/>
      <c r="J201" s="59"/>
      <c r="K201" s="95"/>
      <c r="L201" s="95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  <c r="EQ201" s="59"/>
      <c r="ER201" s="59"/>
      <c r="ES201" s="59"/>
      <c r="ET201" s="59"/>
      <c r="EU201" s="59"/>
      <c r="EV201" s="59"/>
      <c r="EW201" s="59"/>
      <c r="EX201" s="59"/>
      <c r="EY201" s="59"/>
      <c r="EZ201" s="59"/>
      <c r="FA201" s="59"/>
      <c r="FB201" s="59"/>
      <c r="FC201" s="59"/>
      <c r="FD201" s="59"/>
      <c r="FE201" s="59"/>
      <c r="FF201" s="59"/>
      <c r="FG201" s="59"/>
      <c r="FH201" s="59"/>
      <c r="FI201" s="59"/>
      <c r="FJ201" s="59"/>
      <c r="FK201" s="59"/>
      <c r="FL201" s="59"/>
      <c r="FM201" s="59"/>
      <c r="FN201" s="59"/>
      <c r="FO201" s="59"/>
      <c r="FP201" s="59"/>
      <c r="FQ201" s="59"/>
      <c r="FR201" s="59"/>
      <c r="FS201" s="59"/>
      <c r="FT201" s="59"/>
      <c r="FU201" s="59"/>
      <c r="FV201" s="59"/>
      <c r="FW201" s="59"/>
      <c r="FX201" s="59"/>
      <c r="FY201" s="59"/>
      <c r="FZ201" s="59"/>
      <c r="GA201" s="59"/>
      <c r="GB201" s="59"/>
      <c r="GC201" s="59"/>
      <c r="GD201" s="59"/>
      <c r="GE201" s="59"/>
      <c r="GF201" s="59"/>
      <c r="GG201" s="59"/>
      <c r="GH201" s="59"/>
      <c r="GI201" s="59"/>
      <c r="GJ201" s="59"/>
      <c r="GK201" s="59"/>
      <c r="GL201" s="59"/>
      <c r="GM201" s="59"/>
      <c r="GN201" s="59"/>
      <c r="GO201" s="59"/>
      <c r="GP201" s="59"/>
      <c r="GQ201" s="59"/>
      <c r="GR201" s="59"/>
      <c r="GS201" s="59"/>
      <c r="GT201" s="59"/>
    </row>
    <row r="202" spans="1:202" ht="27" customHeight="1">
      <c r="A202" s="106"/>
      <c r="B202" s="106"/>
      <c r="C202" s="107"/>
      <c r="D202" s="107"/>
      <c r="E202" s="108"/>
      <c r="F202" s="109"/>
      <c r="G202" s="76"/>
      <c r="H202" s="76"/>
      <c r="I202" s="76"/>
      <c r="J202" s="76"/>
      <c r="K202" s="109"/>
      <c r="L202" s="109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  <c r="EV202" s="76"/>
      <c r="EW202" s="76"/>
      <c r="EX202" s="76"/>
      <c r="EY202" s="76"/>
      <c r="EZ202" s="76"/>
      <c r="FA202" s="76"/>
      <c r="FB202" s="76"/>
      <c r="FC202" s="76"/>
      <c r="FD202" s="76"/>
      <c r="FE202" s="76"/>
      <c r="FF202" s="76"/>
      <c r="FG202" s="76"/>
      <c r="FH202" s="76"/>
      <c r="FI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76"/>
      <c r="FW202" s="76"/>
      <c r="FX202" s="76"/>
      <c r="FY202" s="76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/>
      <c r="GN202" s="76"/>
      <c r="GO202" s="76"/>
      <c r="GP202" s="76"/>
      <c r="GQ202" s="76"/>
      <c r="GR202" s="76"/>
      <c r="GS202" s="76"/>
      <c r="GT202" s="76"/>
    </row>
  </sheetData>
  <mergeCells count="67">
    <mergeCell ref="ES4:ET4"/>
    <mergeCell ref="EU4:EV4"/>
    <mergeCell ref="FA4:FB4"/>
    <mergeCell ref="DL4:DN4"/>
    <mergeCell ref="DO4:DQ4"/>
    <mergeCell ref="DP5:DQ5"/>
    <mergeCell ref="DR4:DU4"/>
    <mergeCell ref="CY6:CZ6"/>
    <mergeCell ref="DE4:DK4"/>
    <mergeCell ref="DE5:DG5"/>
    <mergeCell ref="DH5:DJ5"/>
    <mergeCell ref="CV5:CW5"/>
    <mergeCell ref="CV4:DD4"/>
    <mergeCell ref="CX5:CZ5"/>
    <mergeCell ref="DA5:DC5"/>
    <mergeCell ref="CG5:CH5"/>
    <mergeCell ref="CI5:CK5"/>
    <mergeCell ref="CM4:CU4"/>
    <mergeCell ref="CP5:CQ5"/>
    <mergeCell ref="CR5:CT5"/>
    <mergeCell ref="AO6:AP6"/>
    <mergeCell ref="AQ6:AR6"/>
    <mergeCell ref="AW4:AX4"/>
    <mergeCell ref="BA4:BC4"/>
    <mergeCell ref="AC5:AD5"/>
    <mergeCell ref="AE5:AF5"/>
    <mergeCell ref="AG4:AH4"/>
    <mergeCell ref="AI4:AT4"/>
    <mergeCell ref="AS5:AT5"/>
    <mergeCell ref="AM5:AN5"/>
    <mergeCell ref="AO5:AR5"/>
    <mergeCell ref="U5:V5"/>
    <mergeCell ref="W5:X5"/>
    <mergeCell ref="Y5:Z5"/>
    <mergeCell ref="AA4:AB4"/>
    <mergeCell ref="BV4:BW4"/>
    <mergeCell ref="BX4:CA4"/>
    <mergeCell ref="CB4:CC4"/>
    <mergeCell ref="CD4:CL4"/>
    <mergeCell ref="S4:T4"/>
    <mergeCell ref="U4:Z4"/>
    <mergeCell ref="AC4:AF4"/>
    <mergeCell ref="BJ4:BK4"/>
    <mergeCell ref="GP4:GT4"/>
    <mergeCell ref="GM4:GO4"/>
    <mergeCell ref="GK4:GL4"/>
    <mergeCell ref="GQ5:GR5"/>
    <mergeCell ref="GS5:GT5"/>
    <mergeCell ref="DV2:FT2"/>
    <mergeCell ref="FU2:GC2"/>
    <mergeCell ref="GD2:GT2"/>
    <mergeCell ref="GH3:GK3"/>
    <mergeCell ref="GL3:GT3"/>
    <mergeCell ref="FZ3:GC3"/>
    <mergeCell ref="FC3:FT3"/>
    <mergeCell ref="ED3:FB3"/>
    <mergeCell ref="EB3:EC3"/>
    <mergeCell ref="C2:F2"/>
    <mergeCell ref="G2:H2"/>
    <mergeCell ref="N3:AT3"/>
    <mergeCell ref="AU3:BC3"/>
    <mergeCell ref="N2:DU2"/>
    <mergeCell ref="BD3:BG3"/>
    <mergeCell ref="BH3:BM3"/>
    <mergeCell ref="BN3:BQ3"/>
    <mergeCell ref="BR3:CC3"/>
    <mergeCell ref="CD3:DU3"/>
  </mergeCells>
  <printOptions/>
  <pageMargins left="0.35433070866141736" right="0" top="0.7874015748031497" bottom="0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38">
      <selection activeCell="F32" sqref="F32"/>
    </sheetView>
  </sheetViews>
  <sheetFormatPr defaultColWidth="9.140625" defaultRowHeight="12.75"/>
  <cols>
    <col min="1" max="4" width="4.421875" style="1" customWidth="1"/>
    <col min="5" max="5" width="7.00390625" style="1" customWidth="1"/>
    <col min="6" max="6" width="72.00390625" style="4" customWidth="1"/>
    <col min="7" max="10" width="8.421875" style="1" customWidth="1"/>
    <col min="11" max="16384" width="8.00390625" style="1" customWidth="1"/>
  </cols>
  <sheetData>
    <row r="1" spans="1:6" ht="26.25">
      <c r="A1" s="166" t="s">
        <v>196</v>
      </c>
      <c r="B1" s="166"/>
      <c r="C1" s="166"/>
      <c r="D1" s="166"/>
      <c r="E1" s="166"/>
      <c r="F1" s="166"/>
    </row>
    <row r="2" spans="1:2" ht="24">
      <c r="A2" s="2">
        <v>1</v>
      </c>
      <c r="B2" s="3" t="s">
        <v>197</v>
      </c>
    </row>
    <row r="3" spans="2:6" ht="24">
      <c r="B3" s="5">
        <v>1</v>
      </c>
      <c r="C3" s="6" t="s">
        <v>198</v>
      </c>
      <c r="D3" s="5"/>
      <c r="E3" s="5"/>
      <c r="F3" s="7"/>
    </row>
    <row r="4" spans="2:6" ht="24">
      <c r="B4" s="5"/>
      <c r="C4" s="6" t="s">
        <v>199</v>
      </c>
      <c r="D4" s="5"/>
      <c r="E4" s="5"/>
      <c r="F4" s="7"/>
    </row>
    <row r="5" spans="2:6" ht="24">
      <c r="B5" s="5"/>
      <c r="C5" s="8" t="s">
        <v>200</v>
      </c>
      <c r="D5" s="5"/>
      <c r="E5" s="5"/>
      <c r="F5" s="7"/>
    </row>
    <row r="6" spans="2:6" ht="24">
      <c r="B6" s="5">
        <v>2</v>
      </c>
      <c r="C6" s="8" t="s">
        <v>201</v>
      </c>
      <c r="D6" s="5"/>
      <c r="E6" s="5"/>
      <c r="F6" s="7"/>
    </row>
    <row r="7" spans="2:3" ht="24">
      <c r="B7" s="1">
        <v>3</v>
      </c>
      <c r="C7" s="8" t="s">
        <v>202</v>
      </c>
    </row>
    <row r="8" spans="2:3" ht="24">
      <c r="B8" s="6"/>
      <c r="C8" s="6" t="s">
        <v>203</v>
      </c>
    </row>
    <row r="9" spans="2:3" ht="24">
      <c r="B9" s="6"/>
      <c r="C9" s="6" t="s">
        <v>204</v>
      </c>
    </row>
    <row r="10" spans="2:6" s="9" customFormat="1" ht="24">
      <c r="B10" s="10"/>
      <c r="C10" s="6" t="s">
        <v>205</v>
      </c>
      <c r="F10" s="11"/>
    </row>
    <row r="11" spans="2:6" s="9" customFormat="1" ht="24">
      <c r="B11" s="10"/>
      <c r="C11" s="6" t="s">
        <v>206</v>
      </c>
      <c r="F11" s="11"/>
    </row>
    <row r="12" spans="2:6" s="9" customFormat="1" ht="24">
      <c r="B12" s="10"/>
      <c r="C12" s="6" t="s">
        <v>207</v>
      </c>
      <c r="F12" s="11"/>
    </row>
    <row r="13" spans="2:3" ht="24">
      <c r="B13" s="1">
        <v>4</v>
      </c>
      <c r="C13" s="1" t="s">
        <v>208</v>
      </c>
    </row>
    <row r="14" spans="2:6" ht="24">
      <c r="B14" s="6"/>
      <c r="C14" s="6" t="s">
        <v>209</v>
      </c>
      <c r="E14" s="6"/>
      <c r="F14" s="12" t="s">
        <v>210</v>
      </c>
    </row>
    <row r="15" spans="2:6" ht="24">
      <c r="B15" s="6"/>
      <c r="C15" s="6" t="s">
        <v>211</v>
      </c>
      <c r="F15" s="4" t="s">
        <v>212</v>
      </c>
    </row>
    <row r="16" spans="2:6" ht="24">
      <c r="B16" s="6"/>
      <c r="C16" s="6" t="s">
        <v>213</v>
      </c>
      <c r="F16" s="4" t="s">
        <v>214</v>
      </c>
    </row>
    <row r="17" spans="2:6" ht="24">
      <c r="B17" s="6"/>
      <c r="C17" s="6" t="s">
        <v>215</v>
      </c>
      <c r="F17" s="4" t="s">
        <v>216</v>
      </c>
    </row>
    <row r="18" spans="2:3" ht="24">
      <c r="B18" s="6"/>
      <c r="C18" s="8" t="s">
        <v>217</v>
      </c>
    </row>
    <row r="19" spans="2:6" ht="24">
      <c r="B19" s="6"/>
      <c r="C19" s="6" t="s">
        <v>218</v>
      </c>
      <c r="F19" s="4" t="s">
        <v>219</v>
      </c>
    </row>
    <row r="20" spans="2:6" ht="24">
      <c r="B20" s="6"/>
      <c r="C20" s="6"/>
      <c r="F20" s="4" t="s">
        <v>220</v>
      </c>
    </row>
    <row r="21" spans="2:3" ht="24">
      <c r="B21" s="6"/>
      <c r="C21" s="6" t="s">
        <v>221</v>
      </c>
    </row>
    <row r="22" spans="2:6" ht="24">
      <c r="B22" s="6"/>
      <c r="C22" s="6"/>
      <c r="D22" s="1" t="s">
        <v>69</v>
      </c>
      <c r="F22" s="4" t="s">
        <v>222</v>
      </c>
    </row>
    <row r="23" spans="2:6" ht="24">
      <c r="B23" s="6"/>
      <c r="C23" s="8"/>
      <c r="D23" s="1" t="s">
        <v>152</v>
      </c>
      <c r="F23" s="4" t="s">
        <v>223</v>
      </c>
    </row>
    <row r="24" spans="3:6" ht="24">
      <c r="C24" s="5" t="s">
        <v>224</v>
      </c>
      <c r="F24" s="4" t="s">
        <v>225</v>
      </c>
    </row>
    <row r="25" spans="1:2" ht="24">
      <c r="A25" s="2">
        <v>2</v>
      </c>
      <c r="B25" s="3" t="s">
        <v>226</v>
      </c>
    </row>
    <row r="26" spans="2:3" ht="24">
      <c r="B26" s="1">
        <v>1</v>
      </c>
      <c r="C26" s="6" t="s">
        <v>227</v>
      </c>
    </row>
    <row r="27" spans="2:6" ht="24">
      <c r="B27" s="1">
        <v>2</v>
      </c>
      <c r="C27" s="8" t="s">
        <v>228</v>
      </c>
      <c r="F27" s="13"/>
    </row>
    <row r="28" spans="3:6" ht="24">
      <c r="C28" s="6" t="s">
        <v>229</v>
      </c>
      <c r="F28" s="13" t="s">
        <v>230</v>
      </c>
    </row>
    <row r="29" spans="3:6" ht="24">
      <c r="C29" s="6" t="s">
        <v>231</v>
      </c>
      <c r="F29" s="13" t="s">
        <v>232</v>
      </c>
    </row>
    <row r="30" spans="3:6" ht="24">
      <c r="C30" s="6" t="s">
        <v>233</v>
      </c>
      <c r="F30" s="14" t="s">
        <v>234</v>
      </c>
    </row>
    <row r="31" spans="2:3" ht="24">
      <c r="B31" s="1">
        <v>3</v>
      </c>
      <c r="C31" s="6" t="s">
        <v>235</v>
      </c>
    </row>
    <row r="32" spans="3:6" ht="24">
      <c r="C32" s="6" t="s">
        <v>236</v>
      </c>
      <c r="F32" s="14" t="s">
        <v>237</v>
      </c>
    </row>
    <row r="33" spans="3:6" ht="24">
      <c r="C33" s="6" t="s">
        <v>238</v>
      </c>
      <c r="F33" s="14" t="s">
        <v>239</v>
      </c>
    </row>
    <row r="34" spans="3:6" ht="24">
      <c r="C34" s="6" t="s">
        <v>240</v>
      </c>
      <c r="F34" s="14" t="s">
        <v>241</v>
      </c>
    </row>
    <row r="35" spans="2:3" ht="24">
      <c r="B35" s="1">
        <v>4</v>
      </c>
      <c r="C35" s="1" t="s">
        <v>242</v>
      </c>
    </row>
    <row r="36" spans="2:6" ht="24">
      <c r="B36" s="1">
        <v>5</v>
      </c>
      <c r="C36" s="1" t="s">
        <v>243</v>
      </c>
      <c r="F36" s="15"/>
    </row>
    <row r="37" spans="2:6" ht="24">
      <c r="B37" s="1">
        <v>6</v>
      </c>
      <c r="C37" s="6" t="s">
        <v>38</v>
      </c>
      <c r="F37" s="15"/>
    </row>
    <row r="38" spans="3:6" ht="24">
      <c r="C38" s="8" t="s">
        <v>83</v>
      </c>
      <c r="F38" s="12" t="s">
        <v>244</v>
      </c>
    </row>
    <row r="39" spans="3:6" ht="24">
      <c r="C39" s="8" t="s">
        <v>84</v>
      </c>
      <c r="F39" s="12" t="s">
        <v>245</v>
      </c>
    </row>
    <row r="40" spans="3:6" ht="24">
      <c r="C40" s="8" t="s">
        <v>85</v>
      </c>
      <c r="F40" s="12" t="s">
        <v>246</v>
      </c>
    </row>
    <row r="41" spans="3:6" ht="24">
      <c r="C41" s="8" t="s">
        <v>86</v>
      </c>
      <c r="F41" s="12" t="s">
        <v>247</v>
      </c>
    </row>
    <row r="42" spans="3:6" ht="24">
      <c r="C42" s="8" t="s">
        <v>87</v>
      </c>
      <c r="F42" s="12" t="s">
        <v>248</v>
      </c>
    </row>
    <row r="43" spans="3:6" ht="24">
      <c r="C43" s="8" t="s">
        <v>88</v>
      </c>
      <c r="F43" s="12" t="s">
        <v>249</v>
      </c>
    </row>
    <row r="44" spans="3:6" ht="24">
      <c r="C44" s="8" t="s">
        <v>89</v>
      </c>
      <c r="F44" s="12" t="s">
        <v>250</v>
      </c>
    </row>
    <row r="45" spans="3:6" ht="24">
      <c r="C45" s="8" t="s">
        <v>90</v>
      </c>
      <c r="F45" s="12" t="s">
        <v>251</v>
      </c>
    </row>
    <row r="46" spans="3:6" ht="24">
      <c r="C46" s="8" t="s">
        <v>91</v>
      </c>
      <c r="F46" s="12" t="s">
        <v>252</v>
      </c>
    </row>
    <row r="47" spans="3:6" ht="24">
      <c r="C47" s="16" t="s">
        <v>92</v>
      </c>
      <c r="F47" s="12" t="s">
        <v>253</v>
      </c>
    </row>
    <row r="48" spans="3:6" ht="24">
      <c r="C48" s="16" t="s">
        <v>93</v>
      </c>
      <c r="F48" s="12" t="s">
        <v>254</v>
      </c>
    </row>
    <row r="49" spans="3:6" ht="24">
      <c r="C49" s="17" t="s">
        <v>94</v>
      </c>
      <c r="F49" s="12" t="s">
        <v>255</v>
      </c>
    </row>
    <row r="50" spans="3:6" ht="24">
      <c r="C50" s="17" t="s">
        <v>256</v>
      </c>
      <c r="F50" s="12" t="s">
        <v>257</v>
      </c>
    </row>
    <row r="51" spans="3:6" ht="24">
      <c r="C51" s="17" t="s">
        <v>258</v>
      </c>
      <c r="F51" s="12" t="s">
        <v>259</v>
      </c>
    </row>
    <row r="52" spans="3:6" ht="24">
      <c r="C52" s="17" t="s">
        <v>260</v>
      </c>
      <c r="F52" s="12" t="s">
        <v>261</v>
      </c>
    </row>
    <row r="53" spans="3:6" ht="24">
      <c r="C53" s="17" t="s">
        <v>262</v>
      </c>
      <c r="F53" s="12" t="s">
        <v>263</v>
      </c>
    </row>
    <row r="55" spans="1:3" ht="24">
      <c r="A55" s="2">
        <v>3</v>
      </c>
      <c r="B55" s="3" t="s">
        <v>12</v>
      </c>
      <c r="C55" s="2"/>
    </row>
    <row r="56" spans="2:3" ht="24">
      <c r="B56" s="1">
        <v>1</v>
      </c>
      <c r="C56" s="8" t="s">
        <v>264</v>
      </c>
    </row>
    <row r="57" spans="2:6" ht="24">
      <c r="B57" s="1">
        <v>2</v>
      </c>
      <c r="C57" s="1" t="s">
        <v>121</v>
      </c>
      <c r="F57" s="4" t="s">
        <v>265</v>
      </c>
    </row>
    <row r="58" spans="2:3" ht="24">
      <c r="B58" s="1">
        <v>3</v>
      </c>
      <c r="C58" s="6" t="s">
        <v>266</v>
      </c>
    </row>
    <row r="59" spans="2:3" ht="24">
      <c r="B59" s="1">
        <v>4</v>
      </c>
      <c r="C59" s="6" t="s">
        <v>267</v>
      </c>
    </row>
    <row r="60" spans="2:6" ht="24">
      <c r="B60" s="1">
        <v>5</v>
      </c>
      <c r="C60" s="8" t="s">
        <v>268</v>
      </c>
      <c r="F60" s="18" t="s">
        <v>269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SERVICE</cp:lastModifiedBy>
  <cp:lastPrinted>2009-01-29T09:06:11Z</cp:lastPrinted>
  <dcterms:created xsi:type="dcterms:W3CDTF">2009-01-13T04:10:30Z</dcterms:created>
  <dcterms:modified xsi:type="dcterms:W3CDTF">2009-01-29T09:48:34Z</dcterms:modified>
  <cp:category/>
  <cp:version/>
  <cp:contentType/>
  <cp:contentStatus/>
</cp:coreProperties>
</file>