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564.04.02 - ขอให้เตรียมข้อมูลการบริหารจัดการทรัพยากรน้ำ ฤดูฝน 2564\"/>
    </mc:Choice>
  </mc:AlternateContent>
  <bookViews>
    <workbookView xWindow="0" yWindow="0" windowWidth="24000" windowHeight="9780" tabRatio="638" activeTab="1"/>
  </bookViews>
  <sheets>
    <sheet name=" อ่างเก็บน้ำขนาดกลาง" sheetId="86" r:id="rId1"/>
    <sheet name="แหล่งน้ำธรรมชาติ" sheetId="87" r:id="rId2"/>
    <sheet name="ตารางที่3 (เปรียบเทียบข้าว)" sheetId="55" state="hidden" r:id="rId3"/>
    <sheet name="Tableรายจังหวัด-report" sheetId="83" state="hidden" r:id="rId4"/>
    <sheet name="ภาคCPY" sheetId="71" state="hidden" r:id="rId5"/>
    <sheet name="จังหวัดCPY19" sheetId="47" state="hidden" r:id="rId6"/>
    <sheet name="ภาคMK" sheetId="78" state="hidden" r:id="rId7"/>
  </sheets>
  <definedNames>
    <definedName name="_xlnm._FilterDatabase" localSheetId="0" hidden="1">' อ่างเก็บน้ำขนาดกลาง'!$B$6:$G$346</definedName>
    <definedName name="_xlnm._FilterDatabase" localSheetId="2" hidden="1">'ตารางที่3 (เปรียบเทียบข้าว)'!$A$3:$U$211</definedName>
    <definedName name="_xlnm._FilterDatabase" localSheetId="1" hidden="1">แหล่งน้ำธรรมชาติ!$B$3:$N$12</definedName>
    <definedName name="_xlnm.Print_Area" localSheetId="0">' อ่างเก็บน้ำขนาดกลาง'!$A$1:$O$347</definedName>
    <definedName name="_xlnm.Print_Area" localSheetId="3">'Tableรายจังหวัด-report'!$A$1:$T$138</definedName>
    <definedName name="_xlnm.Print_Area" localSheetId="5">จังหวัดCPY19!$A$57:$D$80</definedName>
    <definedName name="_xlnm.Print_Area" localSheetId="2">'ตารางที่3 (เปรียบเทียบข้าว)'!$A$3:$U$209</definedName>
    <definedName name="_xlnm.Print_Area" localSheetId="1">แหล่งน้ำธรรมชาติ!$A$1:$N$11</definedName>
    <definedName name="_xlnm.Print_Titles" localSheetId="0">' อ่างเก็บน้ำขนาดกลาง'!$3:$5</definedName>
    <definedName name="_xlnm.Print_Titles" localSheetId="3">'Tableรายจังหวัด-report'!$3:$5</definedName>
    <definedName name="_xlnm.Print_Titles" localSheetId="2">'ตารางที่3 (เปรียบเทียบข้าว)'!$3:$5</definedName>
    <definedName name="_xlnm.Print_Titles" localSheetId="1">แหล่งน้ำธรรมชาติ!$1:$5</definedName>
  </definedNames>
  <calcPr calcId="152511"/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N347" i="86" l="1"/>
  <c r="L347" i="86"/>
  <c r="N340" i="86"/>
  <c r="H10" i="87" l="1"/>
  <c r="I10" i="87"/>
  <c r="J10" i="87"/>
  <c r="K10" i="87"/>
  <c r="L10" i="87"/>
  <c r="G10" i="87"/>
  <c r="M9" i="87"/>
  <c r="M8" i="87"/>
  <c r="M7" i="87"/>
  <c r="M6" i="87"/>
  <c r="M10" i="87" s="1"/>
  <c r="I347" i="86"/>
  <c r="J347" i="86"/>
  <c r="K347" i="86"/>
  <c r="M347" i="86"/>
  <c r="H347" i="86"/>
  <c r="N7" i="86"/>
  <c r="N8" i="86"/>
  <c r="N9" i="86"/>
  <c r="N10" i="86"/>
  <c r="N11" i="86"/>
  <c r="N12" i="86"/>
  <c r="N13" i="86"/>
  <c r="N14" i="86"/>
  <c r="N15" i="86"/>
  <c r="N16" i="86"/>
  <c r="N17" i="86"/>
  <c r="N18" i="86"/>
  <c r="N19" i="86"/>
  <c r="N20" i="86"/>
  <c r="N21" i="86"/>
  <c r="N22" i="86"/>
  <c r="N23" i="86"/>
  <c r="N24" i="86"/>
  <c r="N25" i="86"/>
  <c r="N26" i="86"/>
  <c r="N27" i="86"/>
  <c r="N28" i="86"/>
  <c r="N29" i="86"/>
  <c r="N30" i="86"/>
  <c r="N31" i="86"/>
  <c r="N32" i="86"/>
  <c r="N33" i="86"/>
  <c r="N34" i="86"/>
  <c r="N35" i="86"/>
  <c r="N36" i="86"/>
  <c r="N37" i="86"/>
  <c r="N38" i="86"/>
  <c r="N39" i="86"/>
  <c r="N40" i="86"/>
  <c r="N41" i="86"/>
  <c r="N42" i="86"/>
  <c r="N43" i="86"/>
  <c r="N44" i="86"/>
  <c r="N45" i="86"/>
  <c r="N46" i="86"/>
  <c r="N47" i="86"/>
  <c r="N48" i="86"/>
  <c r="N49" i="86"/>
  <c r="N50" i="86"/>
  <c r="N51" i="86"/>
  <c r="N52" i="86"/>
  <c r="N53" i="86"/>
  <c r="N54" i="86"/>
  <c r="N55" i="86"/>
  <c r="N56" i="86"/>
  <c r="N57" i="86"/>
  <c r="N58" i="86"/>
  <c r="N59" i="86"/>
  <c r="N60" i="86"/>
  <c r="N61" i="86"/>
  <c r="N62" i="86"/>
  <c r="N63" i="86"/>
  <c r="N64" i="86"/>
  <c r="N65" i="86"/>
  <c r="N66" i="86"/>
  <c r="N67" i="86"/>
  <c r="N68" i="86"/>
  <c r="N69" i="86"/>
  <c r="N70" i="86"/>
  <c r="N71" i="86"/>
  <c r="N72" i="86"/>
  <c r="N73" i="86"/>
  <c r="N74" i="86"/>
  <c r="N75" i="86"/>
  <c r="N76" i="86"/>
  <c r="N77" i="86"/>
  <c r="N78" i="86"/>
  <c r="N79" i="86"/>
  <c r="N80" i="86"/>
  <c r="N81" i="86"/>
  <c r="N82" i="86"/>
  <c r="N83" i="86"/>
  <c r="N84" i="86"/>
  <c r="N85" i="86"/>
  <c r="N86" i="86"/>
  <c r="N87" i="86"/>
  <c r="N88" i="86"/>
  <c r="N89" i="86"/>
  <c r="N90" i="86"/>
  <c r="N91" i="86"/>
  <c r="N92" i="86"/>
  <c r="N93" i="86"/>
  <c r="N94" i="86"/>
  <c r="N95" i="86"/>
  <c r="N96" i="86"/>
  <c r="N97" i="86"/>
  <c r="N98" i="86"/>
  <c r="N99" i="86"/>
  <c r="N100" i="86"/>
  <c r="N101" i="86"/>
  <c r="N102" i="86"/>
  <c r="N103" i="86"/>
  <c r="N104" i="86"/>
  <c r="N105" i="86"/>
  <c r="N106" i="86"/>
  <c r="N107" i="86"/>
  <c r="N108" i="86"/>
  <c r="N109" i="86"/>
  <c r="N110" i="86"/>
  <c r="N111" i="86"/>
  <c r="N112" i="86"/>
  <c r="N113" i="86"/>
  <c r="N114" i="86"/>
  <c r="N115" i="86"/>
  <c r="N116" i="86"/>
  <c r="N117" i="86"/>
  <c r="N118" i="86"/>
  <c r="N119" i="86"/>
  <c r="N120" i="86"/>
  <c r="N121" i="86"/>
  <c r="N122" i="86"/>
  <c r="N123" i="86"/>
  <c r="N124" i="86"/>
  <c r="N125" i="86"/>
  <c r="N126" i="86"/>
  <c r="N127" i="86"/>
  <c r="N128" i="86"/>
  <c r="N129" i="86"/>
  <c r="N130" i="86"/>
  <c r="N131" i="86"/>
  <c r="N132" i="86"/>
  <c r="N133" i="86"/>
  <c r="N134" i="86"/>
  <c r="N135" i="86"/>
  <c r="N136" i="86"/>
  <c r="N137" i="86"/>
  <c r="N138" i="86"/>
  <c r="N139" i="86"/>
  <c r="N140" i="86"/>
  <c r="N141" i="86"/>
  <c r="N142" i="86"/>
  <c r="N143" i="86"/>
  <c r="N144" i="86"/>
  <c r="N145" i="86"/>
  <c r="N146" i="86"/>
  <c r="N147" i="86"/>
  <c r="N148" i="86"/>
  <c r="N149" i="86"/>
  <c r="N150" i="86"/>
  <c r="N151" i="86"/>
  <c r="N152" i="86"/>
  <c r="N153" i="86"/>
  <c r="N154" i="86"/>
  <c r="N155" i="86"/>
  <c r="N156" i="86"/>
  <c r="N157" i="86"/>
  <c r="N158" i="86"/>
  <c r="N159" i="86"/>
  <c r="N160" i="86"/>
  <c r="N161" i="86"/>
  <c r="N162" i="86"/>
  <c r="N163" i="86"/>
  <c r="N164" i="86"/>
  <c r="N165" i="86"/>
  <c r="N166" i="86"/>
  <c r="N167" i="86"/>
  <c r="N168" i="86"/>
  <c r="N169" i="86"/>
  <c r="N170" i="86"/>
  <c r="N171" i="86"/>
  <c r="N172" i="86"/>
  <c r="N173" i="86"/>
  <c r="N174" i="86"/>
  <c r="N175" i="86"/>
  <c r="N176" i="86"/>
  <c r="N177" i="86"/>
  <c r="N178" i="86"/>
  <c r="N179" i="86"/>
  <c r="N180" i="86"/>
  <c r="N181" i="86"/>
  <c r="N182" i="86"/>
  <c r="N183" i="86"/>
  <c r="N184" i="86"/>
  <c r="N185" i="86"/>
  <c r="N186" i="86"/>
  <c r="N187" i="86"/>
  <c r="N188" i="86"/>
  <c r="N189" i="86"/>
  <c r="N190" i="86"/>
  <c r="N191" i="86"/>
  <c r="N192" i="86"/>
  <c r="N193" i="86"/>
  <c r="N194" i="86"/>
  <c r="N195" i="86"/>
  <c r="N196" i="86"/>
  <c r="N197" i="86"/>
  <c r="N198" i="86"/>
  <c r="N199" i="86"/>
  <c r="N200" i="86"/>
  <c r="N201" i="86"/>
  <c r="N202" i="86"/>
  <c r="N203" i="86"/>
  <c r="N204" i="86"/>
  <c r="N205" i="86"/>
  <c r="N206" i="86"/>
  <c r="N207" i="86"/>
  <c r="N208" i="86"/>
  <c r="N209" i="86"/>
  <c r="N210" i="86"/>
  <c r="N211" i="86"/>
  <c r="N212" i="86"/>
  <c r="N213" i="86"/>
  <c r="N214" i="86"/>
  <c r="N215" i="86"/>
  <c r="N216" i="86"/>
  <c r="N217" i="86"/>
  <c r="N218" i="86"/>
  <c r="N219" i="86"/>
  <c r="N220" i="86"/>
  <c r="N221" i="86"/>
  <c r="N222" i="86"/>
  <c r="N223" i="86"/>
  <c r="N224" i="86"/>
  <c r="N225" i="86"/>
  <c r="N226" i="86"/>
  <c r="N227" i="86"/>
  <c r="N228" i="86"/>
  <c r="N229" i="86"/>
  <c r="N230" i="86"/>
  <c r="N231" i="86"/>
  <c r="N232" i="86"/>
  <c r="N233" i="86"/>
  <c r="N234" i="86"/>
  <c r="N235" i="86"/>
  <c r="N236" i="86"/>
  <c r="N237" i="86"/>
  <c r="N238" i="86"/>
  <c r="N239" i="86"/>
  <c r="N240" i="86"/>
  <c r="N241" i="86"/>
  <c r="N242" i="86"/>
  <c r="N243" i="86"/>
  <c r="N244" i="86"/>
  <c r="N245" i="86"/>
  <c r="N246" i="86"/>
  <c r="N247" i="86"/>
  <c r="N248" i="86"/>
  <c r="N249" i="86"/>
  <c r="N250" i="86"/>
  <c r="N251" i="86"/>
  <c r="N252" i="86"/>
  <c r="N253" i="86"/>
  <c r="N254" i="86"/>
  <c r="N255" i="86"/>
  <c r="N256" i="86"/>
  <c r="N257" i="86"/>
  <c r="N258" i="86"/>
  <c r="N259" i="86"/>
  <c r="N260" i="86"/>
  <c r="N261" i="86"/>
  <c r="N262" i="86"/>
  <c r="N263" i="86"/>
  <c r="N264" i="86"/>
  <c r="N265" i="86"/>
  <c r="N266" i="86"/>
  <c r="N267" i="86"/>
  <c r="N268" i="86"/>
  <c r="N269" i="86"/>
  <c r="N270" i="86"/>
  <c r="N271" i="86"/>
  <c r="N272" i="86"/>
  <c r="N273" i="86"/>
  <c r="N274" i="86"/>
  <c r="N275" i="86"/>
  <c r="N276" i="86"/>
  <c r="N277" i="86"/>
  <c r="N278" i="86"/>
  <c r="N279" i="86"/>
  <c r="N280" i="86"/>
  <c r="N281" i="86"/>
  <c r="N282" i="86"/>
  <c r="N283" i="86"/>
  <c r="N284" i="86"/>
  <c r="N285" i="86"/>
  <c r="N286" i="86"/>
  <c r="N287" i="86"/>
  <c r="N288" i="86"/>
  <c r="N289" i="86"/>
  <c r="N290" i="86"/>
  <c r="N291" i="86"/>
  <c r="N292" i="86"/>
  <c r="N293" i="86"/>
  <c r="N294" i="86"/>
  <c r="N295" i="86"/>
  <c r="N296" i="86"/>
  <c r="N297" i="86"/>
  <c r="N298" i="86"/>
  <c r="N299" i="86"/>
  <c r="N300" i="86"/>
  <c r="N301" i="86"/>
  <c r="N302" i="86"/>
  <c r="N303" i="86"/>
  <c r="N304" i="86"/>
  <c r="N305" i="86"/>
  <c r="N306" i="86"/>
  <c r="N307" i="86"/>
  <c r="N308" i="86"/>
  <c r="N309" i="86"/>
  <c r="N310" i="86"/>
  <c r="N311" i="86"/>
  <c r="N312" i="86"/>
  <c r="N313" i="86"/>
  <c r="N314" i="86"/>
  <c r="N315" i="86"/>
  <c r="N316" i="86"/>
  <c r="N317" i="86"/>
  <c r="N318" i="86"/>
  <c r="N319" i="86"/>
  <c r="N320" i="86"/>
  <c r="N321" i="86"/>
  <c r="N322" i="86"/>
  <c r="N323" i="86"/>
  <c r="N324" i="86"/>
  <c r="N325" i="86"/>
  <c r="N326" i="86"/>
  <c r="N327" i="86"/>
  <c r="N328" i="86"/>
  <c r="N329" i="86"/>
  <c r="N330" i="86"/>
  <c r="N331" i="86"/>
  <c r="N332" i="86"/>
  <c r="N333" i="86"/>
  <c r="N334" i="86"/>
  <c r="N335" i="86"/>
  <c r="N336" i="86"/>
  <c r="N337" i="86"/>
  <c r="N338" i="86"/>
  <c r="N339" i="86"/>
  <c r="N341" i="86"/>
  <c r="N342" i="86"/>
  <c r="N343" i="86"/>
  <c r="N344" i="86"/>
  <c r="N345" i="86"/>
  <c r="N346" i="86"/>
  <c r="N6" i="86"/>
  <c r="J52" i="83" l="1"/>
  <c r="E51" i="83" l="1"/>
  <c r="F51" i="83"/>
  <c r="G51" i="83"/>
  <c r="H51" i="83"/>
  <c r="I51" i="83"/>
  <c r="J51" i="83"/>
  <c r="K51" i="83"/>
  <c r="L51" i="83"/>
  <c r="M51" i="83"/>
  <c r="N51" i="83"/>
  <c r="O51" i="83"/>
  <c r="P51" i="83"/>
  <c r="Q51" i="83"/>
  <c r="R51" i="83"/>
  <c r="D51" i="83"/>
  <c r="J25" i="83" l="1"/>
  <c r="S25" i="83" s="1"/>
  <c r="J91" i="83"/>
  <c r="S91" i="83" s="1"/>
  <c r="J79" i="83"/>
  <c r="J78" i="83" s="1"/>
  <c r="J34" i="83"/>
  <c r="J29" i="83" s="1"/>
  <c r="J21" i="83"/>
  <c r="S21" i="83" s="1"/>
  <c r="J107" i="83"/>
  <c r="J98" i="83"/>
  <c r="S129" i="83"/>
  <c r="S130" i="83"/>
  <c r="S128" i="83"/>
  <c r="K127" i="83"/>
  <c r="L127" i="83"/>
  <c r="M127" i="83"/>
  <c r="N127" i="83"/>
  <c r="O127" i="83"/>
  <c r="P127" i="83"/>
  <c r="Q127" i="83"/>
  <c r="R127" i="83"/>
  <c r="J127" i="83"/>
  <c r="S122" i="83"/>
  <c r="S123" i="83"/>
  <c r="S124" i="83"/>
  <c r="S125" i="83"/>
  <c r="S121" i="83"/>
  <c r="K120" i="83"/>
  <c r="L120" i="83"/>
  <c r="M120" i="83"/>
  <c r="N120" i="83"/>
  <c r="O120" i="83"/>
  <c r="P120" i="83"/>
  <c r="Q120" i="83"/>
  <c r="R120" i="83"/>
  <c r="J120" i="83"/>
  <c r="S115" i="83"/>
  <c r="S116" i="83"/>
  <c r="S117" i="83"/>
  <c r="S118" i="83"/>
  <c r="S114" i="83"/>
  <c r="K113" i="83"/>
  <c r="L113" i="83"/>
  <c r="M113" i="83"/>
  <c r="N113" i="83"/>
  <c r="O113" i="83"/>
  <c r="P113" i="83"/>
  <c r="Q113" i="83"/>
  <c r="R113" i="83"/>
  <c r="J113" i="83"/>
  <c r="S109" i="83"/>
  <c r="S110" i="83"/>
  <c r="S111" i="83"/>
  <c r="S108" i="83"/>
  <c r="K107" i="83"/>
  <c r="L107" i="83"/>
  <c r="M107" i="83"/>
  <c r="N107" i="83"/>
  <c r="O107" i="83"/>
  <c r="P107" i="83"/>
  <c r="Q107" i="83"/>
  <c r="R107" i="83"/>
  <c r="S100" i="83"/>
  <c r="S101" i="83"/>
  <c r="S102" i="83"/>
  <c r="S103" i="83"/>
  <c r="S104" i="83"/>
  <c r="S105" i="83"/>
  <c r="S99" i="83"/>
  <c r="K98" i="83"/>
  <c r="L98" i="83"/>
  <c r="M98" i="83"/>
  <c r="N98" i="83"/>
  <c r="O98" i="83"/>
  <c r="P98" i="83"/>
  <c r="Q98" i="83"/>
  <c r="R98" i="83"/>
  <c r="S92" i="83"/>
  <c r="S93" i="83"/>
  <c r="S94" i="83"/>
  <c r="S95" i="83"/>
  <c r="S96" i="83"/>
  <c r="K90" i="83"/>
  <c r="L90" i="83"/>
  <c r="M90" i="83"/>
  <c r="N90" i="83"/>
  <c r="O90" i="83"/>
  <c r="P90" i="83"/>
  <c r="Q90" i="83"/>
  <c r="R90" i="83"/>
  <c r="S80" i="83"/>
  <c r="S81" i="83"/>
  <c r="S82" i="83"/>
  <c r="S83" i="83"/>
  <c r="S84" i="83"/>
  <c r="S85" i="83"/>
  <c r="S86" i="83"/>
  <c r="S87" i="83"/>
  <c r="S88" i="83"/>
  <c r="K78" i="83"/>
  <c r="L78" i="83"/>
  <c r="M78" i="83"/>
  <c r="N78" i="83"/>
  <c r="O78" i="83"/>
  <c r="P78" i="83"/>
  <c r="Q78" i="83"/>
  <c r="R78" i="83"/>
  <c r="S70" i="83"/>
  <c r="S71" i="83"/>
  <c r="S72" i="83"/>
  <c r="S73" i="83"/>
  <c r="S74" i="83"/>
  <c r="S75" i="83"/>
  <c r="S76" i="83"/>
  <c r="S69" i="83"/>
  <c r="K68" i="83"/>
  <c r="L68" i="83"/>
  <c r="M68" i="83"/>
  <c r="N68" i="83"/>
  <c r="O68" i="83"/>
  <c r="P68" i="83"/>
  <c r="Q68" i="83"/>
  <c r="R68" i="83"/>
  <c r="J68" i="83"/>
  <c r="S60" i="83"/>
  <c r="S61" i="83"/>
  <c r="S62" i="83"/>
  <c r="S63" i="83"/>
  <c r="S64" i="83"/>
  <c r="S65" i="83"/>
  <c r="S66" i="83"/>
  <c r="S59" i="83"/>
  <c r="K58" i="83"/>
  <c r="L58" i="83"/>
  <c r="M58" i="83"/>
  <c r="N58" i="83"/>
  <c r="O58" i="83"/>
  <c r="P58" i="83"/>
  <c r="Q58" i="83"/>
  <c r="R58" i="83"/>
  <c r="J58" i="83"/>
  <c r="S56" i="83"/>
  <c r="S55" i="83"/>
  <c r="S54" i="83"/>
  <c r="S53" i="83"/>
  <c r="K52" i="83"/>
  <c r="L52" i="83"/>
  <c r="M52" i="83"/>
  <c r="N52" i="83"/>
  <c r="O52" i="83"/>
  <c r="P52" i="83"/>
  <c r="Q52" i="83"/>
  <c r="R52" i="83"/>
  <c r="S46" i="83"/>
  <c r="S47" i="83"/>
  <c r="S48" i="83"/>
  <c r="S49" i="83"/>
  <c r="S50" i="83"/>
  <c r="S51" i="83" s="1"/>
  <c r="S45" i="83"/>
  <c r="K44" i="83"/>
  <c r="L44" i="83"/>
  <c r="M44" i="83"/>
  <c r="N44" i="83"/>
  <c r="O44" i="83"/>
  <c r="P44" i="83"/>
  <c r="Q44" i="83"/>
  <c r="R44" i="83"/>
  <c r="J44" i="83"/>
  <c r="S39" i="83"/>
  <c r="S40" i="83"/>
  <c r="S41" i="83"/>
  <c r="S42" i="83"/>
  <c r="S38" i="83"/>
  <c r="K37" i="83"/>
  <c r="L37" i="83"/>
  <c r="M37" i="83"/>
  <c r="N37" i="83"/>
  <c r="O37" i="83"/>
  <c r="P37" i="83"/>
  <c r="Q37" i="83"/>
  <c r="R37" i="83"/>
  <c r="J37" i="83"/>
  <c r="S31" i="83"/>
  <c r="S32" i="83"/>
  <c r="S33" i="83"/>
  <c r="S34" i="83"/>
  <c r="S35" i="83"/>
  <c r="S30" i="83"/>
  <c r="K29" i="83"/>
  <c r="L29" i="83"/>
  <c r="M29" i="83"/>
  <c r="N29" i="83"/>
  <c r="O29" i="83"/>
  <c r="P29" i="83"/>
  <c r="Q29" i="83"/>
  <c r="R29" i="83"/>
  <c r="R11" i="83"/>
  <c r="R17" i="83"/>
  <c r="S26" i="83"/>
  <c r="S27" i="83"/>
  <c r="S24" i="83"/>
  <c r="R23" i="83"/>
  <c r="Q23" i="83"/>
  <c r="P23" i="83"/>
  <c r="O23" i="83"/>
  <c r="N23" i="83"/>
  <c r="M23" i="83"/>
  <c r="L23" i="83"/>
  <c r="K23" i="83"/>
  <c r="S19" i="83"/>
  <c r="S20" i="83"/>
  <c r="S18" i="83"/>
  <c r="Q17" i="83"/>
  <c r="P17" i="83"/>
  <c r="O17" i="83"/>
  <c r="N17" i="83"/>
  <c r="M17" i="83"/>
  <c r="L17" i="83"/>
  <c r="K17" i="83"/>
  <c r="S15" i="83"/>
  <c r="S14" i="83"/>
  <c r="S13" i="83"/>
  <c r="S12" i="83"/>
  <c r="K11" i="83"/>
  <c r="L11" i="83"/>
  <c r="M11" i="83"/>
  <c r="N11" i="83"/>
  <c r="O11" i="83"/>
  <c r="P11" i="83"/>
  <c r="Q11" i="83"/>
  <c r="J11" i="83"/>
  <c r="S8" i="83"/>
  <c r="S9" i="83"/>
  <c r="S7" i="83"/>
  <c r="K6" i="83"/>
  <c r="L6" i="83"/>
  <c r="M6" i="83"/>
  <c r="N6" i="83"/>
  <c r="O6" i="83"/>
  <c r="P6" i="83"/>
  <c r="Q6" i="83"/>
  <c r="R6" i="83"/>
  <c r="J6" i="83"/>
  <c r="D55" i="47"/>
  <c r="C21" i="71"/>
  <c r="C24" i="71" s="1"/>
  <c r="D21" i="71"/>
  <c r="D24" i="71" s="1"/>
  <c r="E21" i="71"/>
  <c r="E24" i="71" s="1"/>
  <c r="F21" i="71"/>
  <c r="F24" i="71" s="1"/>
  <c r="G21" i="71"/>
  <c r="G24" i="71" s="1"/>
  <c r="H21" i="71"/>
  <c r="H24" i="71" s="1"/>
  <c r="I21" i="71"/>
  <c r="I24" i="71" s="1"/>
  <c r="J21" i="71"/>
  <c r="J24" i="71" s="1"/>
  <c r="K21" i="71"/>
  <c r="K24" i="71" s="1"/>
  <c r="L21" i="71"/>
  <c r="L24" i="71" s="1"/>
  <c r="M21" i="71"/>
  <c r="M24" i="71" s="1"/>
  <c r="N21" i="71"/>
  <c r="N24" i="71" s="1"/>
  <c r="O21" i="71"/>
  <c r="O24" i="71" s="1"/>
  <c r="P21" i="71"/>
  <c r="P24" i="71" s="1"/>
  <c r="Q21" i="71"/>
  <c r="Q24" i="71" s="1"/>
  <c r="R21" i="71"/>
  <c r="R24" i="71" s="1"/>
  <c r="B21" i="71"/>
  <c r="B24" i="71" s="1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C26" i="47"/>
  <c r="C29" i="47" s="1"/>
  <c r="D26" i="47"/>
  <c r="D29" i="47" s="1"/>
  <c r="E26" i="47"/>
  <c r="E29" i="47"/>
  <c r="F26" i="47"/>
  <c r="F29" i="47" s="1"/>
  <c r="G26" i="47"/>
  <c r="G29" i="47" s="1"/>
  <c r="H26" i="47"/>
  <c r="H29" i="47" s="1"/>
  <c r="I26" i="47"/>
  <c r="I29" i="47" s="1"/>
  <c r="J26" i="47"/>
  <c r="J29" i="47" s="1"/>
  <c r="K26" i="47"/>
  <c r="K29" i="47" s="1"/>
  <c r="L26" i="47"/>
  <c r="L29" i="47" s="1"/>
  <c r="M26" i="47"/>
  <c r="M29" i="47" s="1"/>
  <c r="N26" i="47"/>
  <c r="N29" i="47" s="1"/>
  <c r="O26" i="47"/>
  <c r="O29" i="47" s="1"/>
  <c r="P26" i="47"/>
  <c r="P29" i="47" s="1"/>
  <c r="Q26" i="47"/>
  <c r="Q29" i="47" s="1"/>
  <c r="R26" i="47"/>
  <c r="R29" i="47" s="1"/>
  <c r="S26" i="47"/>
  <c r="S29" i="47" s="1"/>
  <c r="C55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Q55" i="47"/>
  <c r="R55" i="47"/>
  <c r="S55" i="47"/>
  <c r="H7" i="55"/>
  <c r="AC7" i="55" s="1"/>
  <c r="K7" i="55"/>
  <c r="T7" i="55" s="1"/>
  <c r="AM7" i="55" s="1"/>
  <c r="X7" i="55"/>
  <c r="Y7" i="55"/>
  <c r="Z7" i="55"/>
  <c r="AA7" i="55"/>
  <c r="AB7" i="55"/>
  <c r="AD7" i="55"/>
  <c r="AE7" i="55"/>
  <c r="AF7" i="55"/>
  <c r="AG7" i="55"/>
  <c r="AH7" i="55"/>
  <c r="AI7" i="55"/>
  <c r="AJ7" i="55"/>
  <c r="AK7" i="55"/>
  <c r="AL7" i="55"/>
  <c r="AP7" i="55"/>
  <c r="H8" i="55"/>
  <c r="AC8" i="55" s="1"/>
  <c r="K8" i="55"/>
  <c r="T8" i="55" s="1"/>
  <c r="AM8" i="55" s="1"/>
  <c r="X8" i="55"/>
  <c r="Y8" i="55"/>
  <c r="Z8" i="55"/>
  <c r="AA8" i="55"/>
  <c r="AB8" i="55"/>
  <c r="AD8" i="55"/>
  <c r="AE8" i="55"/>
  <c r="AF8" i="55"/>
  <c r="AG8" i="55"/>
  <c r="AH8" i="55"/>
  <c r="AI8" i="55"/>
  <c r="AJ8" i="55"/>
  <c r="AK8" i="55"/>
  <c r="AL8" i="55"/>
  <c r="AP8" i="55"/>
  <c r="H9" i="55"/>
  <c r="AC9" i="55" s="1"/>
  <c r="K9" i="55"/>
  <c r="T9" i="55" s="1"/>
  <c r="AM9" i="55" s="1"/>
  <c r="X9" i="55"/>
  <c r="Y9" i="55"/>
  <c r="Z9" i="55"/>
  <c r="AA9" i="55"/>
  <c r="AB9" i="55"/>
  <c r="AD9" i="55"/>
  <c r="AE9" i="55"/>
  <c r="AF9" i="55"/>
  <c r="AG9" i="55"/>
  <c r="AH9" i="55"/>
  <c r="AI9" i="55"/>
  <c r="AJ9" i="55"/>
  <c r="AK9" i="55"/>
  <c r="AL9" i="55"/>
  <c r="AP9" i="55"/>
  <c r="H10" i="55"/>
  <c r="AC10" i="55" s="1"/>
  <c r="I10" i="55"/>
  <c r="X10" i="55"/>
  <c r="Y10" i="55"/>
  <c r="Z10" i="55"/>
  <c r="AA10" i="55"/>
  <c r="AB10" i="55"/>
  <c r="AE10" i="55"/>
  <c r="AF10" i="55"/>
  <c r="AG10" i="55"/>
  <c r="AH10" i="55"/>
  <c r="AI10" i="55"/>
  <c r="AJ10" i="55"/>
  <c r="AK10" i="55"/>
  <c r="AL10" i="55"/>
  <c r="AP10" i="55"/>
  <c r="H11" i="55"/>
  <c r="I11" i="55"/>
  <c r="X11" i="55"/>
  <c r="Y11" i="55"/>
  <c r="Z11" i="55"/>
  <c r="AA11" i="55"/>
  <c r="AB11" i="55"/>
  <c r="AE11" i="55"/>
  <c r="AF11" i="55"/>
  <c r="AG11" i="55"/>
  <c r="AH11" i="55"/>
  <c r="AI11" i="55"/>
  <c r="AJ11" i="55"/>
  <c r="AK11" i="55"/>
  <c r="AL11" i="55"/>
  <c r="AP11" i="55"/>
  <c r="H12" i="55"/>
  <c r="AC12" i="55" s="1"/>
  <c r="K12" i="55"/>
  <c r="T12" i="55" s="1"/>
  <c r="AM12" i="55" s="1"/>
  <c r="X12" i="55"/>
  <c r="Y12" i="55"/>
  <c r="Z12" i="55"/>
  <c r="AA12" i="55"/>
  <c r="AB12" i="55"/>
  <c r="AD12" i="55"/>
  <c r="AE12" i="55"/>
  <c r="AF12" i="55"/>
  <c r="AG12" i="55"/>
  <c r="AH12" i="55"/>
  <c r="AI12" i="55"/>
  <c r="AJ12" i="55"/>
  <c r="AK12" i="55"/>
  <c r="AL12" i="55"/>
  <c r="AP12" i="55"/>
  <c r="B13" i="55"/>
  <c r="C13" i="55"/>
  <c r="D13" i="55"/>
  <c r="E13" i="55"/>
  <c r="F13" i="55"/>
  <c r="G13" i="55"/>
  <c r="J13" i="55"/>
  <c r="L13" i="55"/>
  <c r="M13" i="55"/>
  <c r="N13" i="55"/>
  <c r="O13" i="55"/>
  <c r="P13" i="55"/>
  <c r="Q13" i="55"/>
  <c r="R13" i="55"/>
  <c r="S13" i="55"/>
  <c r="H15" i="55"/>
  <c r="I15" i="55"/>
  <c r="AD15" i="55" s="1"/>
  <c r="X15" i="55"/>
  <c r="Y15" i="55"/>
  <c r="Z15" i="55"/>
  <c r="AA15" i="55"/>
  <c r="AB15" i="55"/>
  <c r="AE15" i="55"/>
  <c r="AF15" i="55"/>
  <c r="AG15" i="55"/>
  <c r="AH15" i="55"/>
  <c r="AI15" i="55"/>
  <c r="AJ15" i="55"/>
  <c r="AK15" i="55"/>
  <c r="AL15" i="55"/>
  <c r="AP15" i="55"/>
  <c r="H16" i="55"/>
  <c r="AC16" i="55" s="1"/>
  <c r="K16" i="55"/>
  <c r="T16" i="55" s="1"/>
  <c r="AM16" i="55" s="1"/>
  <c r="X16" i="55"/>
  <c r="Y16" i="55"/>
  <c r="Z16" i="55"/>
  <c r="AA16" i="55"/>
  <c r="AB16" i="55"/>
  <c r="AD16" i="55"/>
  <c r="AE16" i="55"/>
  <c r="AF16" i="55"/>
  <c r="AG16" i="55"/>
  <c r="AH16" i="55"/>
  <c r="AI16" i="55"/>
  <c r="AJ16" i="55"/>
  <c r="AK16" i="55"/>
  <c r="AL16" i="55"/>
  <c r="AP16" i="55"/>
  <c r="H17" i="55"/>
  <c r="I17" i="55"/>
  <c r="AD17" i="55" s="1"/>
  <c r="X17" i="55"/>
  <c r="Y17" i="55"/>
  <c r="Z17" i="55"/>
  <c r="AA17" i="55"/>
  <c r="AB17" i="55"/>
  <c r="AC17" i="55"/>
  <c r="AE17" i="55"/>
  <c r="AF17" i="55"/>
  <c r="AG17" i="55"/>
  <c r="AH17" i="55"/>
  <c r="AI17" i="55"/>
  <c r="AJ17" i="55"/>
  <c r="AK17" i="55"/>
  <c r="AL17" i="55"/>
  <c r="AP17" i="55"/>
  <c r="H18" i="55"/>
  <c r="AC18" i="55" s="1"/>
  <c r="K18" i="55"/>
  <c r="T18" i="55" s="1"/>
  <c r="AM18" i="55" s="1"/>
  <c r="X18" i="55"/>
  <c r="Y18" i="55"/>
  <c r="Z18" i="55"/>
  <c r="AA18" i="55"/>
  <c r="AB18" i="55"/>
  <c r="AD18" i="55"/>
  <c r="AE18" i="55"/>
  <c r="AF18" i="55"/>
  <c r="AG18" i="55"/>
  <c r="AH18" i="55"/>
  <c r="AI18" i="55"/>
  <c r="AJ18" i="55"/>
  <c r="AK18" i="55"/>
  <c r="AL18" i="55"/>
  <c r="AP18" i="55"/>
  <c r="H19" i="55"/>
  <c r="AC19" i="55" s="1"/>
  <c r="K19" i="55"/>
  <c r="T19" i="55" s="1"/>
  <c r="AM19" i="55" s="1"/>
  <c r="X19" i="55"/>
  <c r="Y19" i="55"/>
  <c r="Z19" i="55"/>
  <c r="AA19" i="55"/>
  <c r="AB19" i="55"/>
  <c r="AD19" i="55"/>
  <c r="AE19" i="55"/>
  <c r="AF19" i="55"/>
  <c r="AG19" i="55"/>
  <c r="AH19" i="55"/>
  <c r="AI19" i="55"/>
  <c r="AJ19" i="55"/>
  <c r="AK19" i="55"/>
  <c r="AL19" i="55"/>
  <c r="AP19" i="55"/>
  <c r="H20" i="55"/>
  <c r="K20" i="55"/>
  <c r="T20" i="55" s="1"/>
  <c r="AM20" i="55" s="1"/>
  <c r="X20" i="55"/>
  <c r="Y20" i="55"/>
  <c r="Z20" i="55"/>
  <c r="AA20" i="55"/>
  <c r="AB20" i="55"/>
  <c r="AC20" i="55"/>
  <c r="AD20" i="55"/>
  <c r="AE20" i="55"/>
  <c r="AF20" i="55"/>
  <c r="AG20" i="55"/>
  <c r="AH20" i="55"/>
  <c r="AI20" i="55"/>
  <c r="AJ20" i="55"/>
  <c r="AK20" i="55"/>
  <c r="AL20" i="55"/>
  <c r="AP20" i="55"/>
  <c r="H21" i="55"/>
  <c r="AC21" i="55" s="1"/>
  <c r="I21" i="55"/>
  <c r="I22" i="55" s="1"/>
  <c r="X21" i="55"/>
  <c r="Y21" i="55"/>
  <c r="Z21" i="55"/>
  <c r="AA21" i="55"/>
  <c r="AB21" i="55"/>
  <c r="AE21" i="55"/>
  <c r="AF21" i="55"/>
  <c r="AG21" i="55"/>
  <c r="AH21" i="55"/>
  <c r="AI21" i="55"/>
  <c r="AJ21" i="55"/>
  <c r="AK21" i="55"/>
  <c r="AL21" i="55"/>
  <c r="AP21" i="55"/>
  <c r="B22" i="55"/>
  <c r="C22" i="55"/>
  <c r="D22" i="55"/>
  <c r="E22" i="55"/>
  <c r="F22" i="55"/>
  <c r="G22" i="55"/>
  <c r="J22" i="55"/>
  <c r="L22" i="55"/>
  <c r="M22" i="55"/>
  <c r="N22" i="55"/>
  <c r="O22" i="55"/>
  <c r="P22" i="55"/>
  <c r="Q22" i="55"/>
  <c r="R22" i="55"/>
  <c r="S22" i="55"/>
  <c r="H24" i="55"/>
  <c r="I24" i="55"/>
  <c r="AD24" i="55" s="1"/>
  <c r="X24" i="55"/>
  <c r="Y24" i="55"/>
  <c r="Z24" i="55"/>
  <c r="AA24" i="55"/>
  <c r="AB24" i="55"/>
  <c r="AE24" i="55"/>
  <c r="AF24" i="55"/>
  <c r="AG24" i="55"/>
  <c r="AH24" i="55"/>
  <c r="AI24" i="55"/>
  <c r="AJ24" i="55"/>
  <c r="AK24" i="55"/>
  <c r="AL24" i="55"/>
  <c r="AP24" i="55"/>
  <c r="H25" i="55"/>
  <c r="AC25" i="55" s="1"/>
  <c r="K25" i="55"/>
  <c r="T25" i="55" s="1"/>
  <c r="AM25" i="55" s="1"/>
  <c r="X25" i="55"/>
  <c r="Y25" i="55"/>
  <c r="Z25" i="55"/>
  <c r="AA25" i="55"/>
  <c r="AB25" i="55"/>
  <c r="AD25" i="55"/>
  <c r="AE25" i="55"/>
  <c r="AF25" i="55"/>
  <c r="AG25" i="55"/>
  <c r="AH25" i="55"/>
  <c r="AI25" i="55"/>
  <c r="AJ25" i="55"/>
  <c r="AK25" i="55"/>
  <c r="AL25" i="55"/>
  <c r="AP25" i="55"/>
  <c r="H26" i="55"/>
  <c r="AC26" i="55" s="1"/>
  <c r="I26" i="55"/>
  <c r="K26" i="55" s="1"/>
  <c r="T26" i="55" s="1"/>
  <c r="AM26" i="55" s="1"/>
  <c r="X26" i="55"/>
  <c r="Y26" i="55"/>
  <c r="Z26" i="55"/>
  <c r="AA26" i="55"/>
  <c r="AB26" i="55"/>
  <c r="AE26" i="55"/>
  <c r="AF26" i="55"/>
  <c r="AG26" i="55"/>
  <c r="AH26" i="55"/>
  <c r="AI26" i="55"/>
  <c r="AJ26" i="55"/>
  <c r="AK26" i="55"/>
  <c r="AL26" i="55"/>
  <c r="AP26" i="55"/>
  <c r="H27" i="55"/>
  <c r="AC27" i="55" s="1"/>
  <c r="I27" i="55"/>
  <c r="K27" i="55" s="1"/>
  <c r="X27" i="55"/>
  <c r="Y27" i="55"/>
  <c r="Z27" i="55"/>
  <c r="AA27" i="55"/>
  <c r="AB27" i="55"/>
  <c r="AE27" i="55"/>
  <c r="AF27" i="55"/>
  <c r="AG27" i="55"/>
  <c r="AH27" i="55"/>
  <c r="AI27" i="55"/>
  <c r="AJ27" i="55"/>
  <c r="AK27" i="55"/>
  <c r="AL27" i="55"/>
  <c r="AP27" i="55"/>
  <c r="H28" i="55"/>
  <c r="AC28" i="55" s="1"/>
  <c r="I28" i="55"/>
  <c r="K28" i="55" s="1"/>
  <c r="X28" i="55"/>
  <c r="Y28" i="55"/>
  <c r="Z28" i="55"/>
  <c r="AA28" i="55"/>
  <c r="AB28" i="55"/>
  <c r="AE28" i="55"/>
  <c r="AF28" i="55"/>
  <c r="AG28" i="55"/>
  <c r="AH28" i="55"/>
  <c r="AI28" i="55"/>
  <c r="AJ28" i="55"/>
  <c r="AK28" i="55"/>
  <c r="AL28" i="55"/>
  <c r="AP28" i="55"/>
  <c r="H29" i="55"/>
  <c r="AC29" i="55" s="1"/>
  <c r="K29" i="55"/>
  <c r="T29" i="55" s="1"/>
  <c r="AM29" i="55" s="1"/>
  <c r="X29" i="55"/>
  <c r="Y29" i="55"/>
  <c r="Z29" i="55"/>
  <c r="AA29" i="55"/>
  <c r="AB29" i="55"/>
  <c r="AD29" i="55"/>
  <c r="AE29" i="55"/>
  <c r="AF29" i="55"/>
  <c r="AG29" i="55"/>
  <c r="AH29" i="55"/>
  <c r="AI29" i="55"/>
  <c r="AJ29" i="55"/>
  <c r="AK29" i="55"/>
  <c r="AL29" i="55"/>
  <c r="AP29" i="55"/>
  <c r="H30" i="55"/>
  <c r="AC30" i="55" s="1"/>
  <c r="K30" i="55"/>
  <c r="T30" i="55" s="1"/>
  <c r="AM30" i="55" s="1"/>
  <c r="X30" i="55"/>
  <c r="Y30" i="55"/>
  <c r="Z30" i="55"/>
  <c r="AA30" i="55"/>
  <c r="AB30" i="55"/>
  <c r="AD30" i="55"/>
  <c r="AE30" i="55"/>
  <c r="AF30" i="55"/>
  <c r="AG30" i="55"/>
  <c r="AH30" i="55"/>
  <c r="AI30" i="55"/>
  <c r="AJ30" i="55"/>
  <c r="AK30" i="55"/>
  <c r="AL30" i="55"/>
  <c r="AP30" i="55"/>
  <c r="H31" i="55"/>
  <c r="AC31" i="55" s="1"/>
  <c r="K31" i="55"/>
  <c r="T31" i="55" s="1"/>
  <c r="AM31" i="55" s="1"/>
  <c r="X31" i="55"/>
  <c r="Y31" i="55"/>
  <c r="Z31" i="55"/>
  <c r="AA31" i="55"/>
  <c r="AB31" i="55"/>
  <c r="AD31" i="55"/>
  <c r="AE31" i="55"/>
  <c r="AF31" i="55"/>
  <c r="AG31" i="55"/>
  <c r="AH31" i="55"/>
  <c r="AI31" i="55"/>
  <c r="AJ31" i="55"/>
  <c r="AK31" i="55"/>
  <c r="AL31" i="55"/>
  <c r="AP31" i="55"/>
  <c r="H32" i="55"/>
  <c r="AC32" i="55" s="1"/>
  <c r="I32" i="55"/>
  <c r="K32" i="55" s="1"/>
  <c r="T32" i="55" s="1"/>
  <c r="AM32" i="55" s="1"/>
  <c r="X32" i="55"/>
  <c r="Y32" i="55"/>
  <c r="Z32" i="55"/>
  <c r="AA32" i="55"/>
  <c r="AB32" i="55"/>
  <c r="AE32" i="55"/>
  <c r="AF32" i="55"/>
  <c r="AG32" i="55"/>
  <c r="AH32" i="55"/>
  <c r="AI32" i="55"/>
  <c r="AJ32" i="55"/>
  <c r="AK32" i="55"/>
  <c r="AL32" i="55"/>
  <c r="AP32" i="55"/>
  <c r="H33" i="55"/>
  <c r="AC33" i="55" s="1"/>
  <c r="I33" i="55"/>
  <c r="K33" i="55" s="1"/>
  <c r="X33" i="55"/>
  <c r="Y33" i="55"/>
  <c r="Z33" i="55"/>
  <c r="AA33" i="55"/>
  <c r="AB33" i="55"/>
  <c r="AE33" i="55"/>
  <c r="AF33" i="55"/>
  <c r="AG33" i="55"/>
  <c r="AH33" i="55"/>
  <c r="AI33" i="55"/>
  <c r="AJ33" i="55"/>
  <c r="AK33" i="55"/>
  <c r="AL33" i="55"/>
  <c r="AP33" i="55"/>
  <c r="B34" i="55"/>
  <c r="C34" i="55"/>
  <c r="D34" i="55"/>
  <c r="E34" i="55"/>
  <c r="F34" i="55"/>
  <c r="G34" i="55"/>
  <c r="J34" i="55"/>
  <c r="L34" i="55"/>
  <c r="M34" i="55"/>
  <c r="N34" i="55"/>
  <c r="O34" i="55"/>
  <c r="P34" i="55"/>
  <c r="Q34" i="55"/>
  <c r="R34" i="55"/>
  <c r="S34" i="55"/>
  <c r="H36" i="55"/>
  <c r="AC36" i="55" s="1"/>
  <c r="K36" i="55"/>
  <c r="T36" i="55" s="1"/>
  <c r="AM36" i="55" s="1"/>
  <c r="X36" i="55"/>
  <c r="Y36" i="55"/>
  <c r="Z36" i="55"/>
  <c r="AA36" i="55"/>
  <c r="AB36" i="55"/>
  <c r="AD36" i="55"/>
  <c r="AE36" i="55"/>
  <c r="AF36" i="55"/>
  <c r="AG36" i="55"/>
  <c r="AH36" i="55"/>
  <c r="AI36" i="55"/>
  <c r="AJ36" i="55"/>
  <c r="AK36" i="55"/>
  <c r="AL36" i="55"/>
  <c r="AP36" i="55"/>
  <c r="H37" i="55"/>
  <c r="AC37" i="55" s="1"/>
  <c r="K37" i="55"/>
  <c r="T37" i="55" s="1"/>
  <c r="X37" i="55"/>
  <c r="Y37" i="55"/>
  <c r="Z37" i="55"/>
  <c r="AA37" i="55"/>
  <c r="AB37" i="55"/>
  <c r="AD37" i="55"/>
  <c r="AE37" i="55"/>
  <c r="AF37" i="55"/>
  <c r="AG37" i="55"/>
  <c r="AH37" i="55"/>
  <c r="AI37" i="55"/>
  <c r="AJ37" i="55"/>
  <c r="AK37" i="55"/>
  <c r="AL37" i="55"/>
  <c r="AP37" i="55"/>
  <c r="H38" i="55"/>
  <c r="AC38" i="55" s="1"/>
  <c r="K38" i="55"/>
  <c r="T38" i="55" s="1"/>
  <c r="AM38" i="55" s="1"/>
  <c r="X38" i="55"/>
  <c r="Y38" i="55"/>
  <c r="Z38" i="55"/>
  <c r="AA38" i="55"/>
  <c r="AB38" i="55"/>
  <c r="AD38" i="55"/>
  <c r="AE38" i="55"/>
  <c r="AF38" i="55"/>
  <c r="AG38" i="55"/>
  <c r="AH38" i="55"/>
  <c r="AI38" i="55"/>
  <c r="AJ38" i="55"/>
  <c r="AK38" i="55"/>
  <c r="AL38" i="55"/>
  <c r="AP38" i="55"/>
  <c r="H39" i="55"/>
  <c r="AC39" i="55" s="1"/>
  <c r="K39" i="55"/>
  <c r="T39" i="55" s="1"/>
  <c r="AM39" i="55" s="1"/>
  <c r="X39" i="55"/>
  <c r="Y39" i="55"/>
  <c r="Z39" i="55"/>
  <c r="AA39" i="55"/>
  <c r="AB39" i="55"/>
  <c r="AD39" i="55"/>
  <c r="AE39" i="55"/>
  <c r="AF39" i="55"/>
  <c r="AG39" i="55"/>
  <c r="AH39" i="55"/>
  <c r="AI39" i="55"/>
  <c r="AJ39" i="55"/>
  <c r="AK39" i="55"/>
  <c r="AL39" i="55"/>
  <c r="AP39" i="55"/>
  <c r="H40" i="55"/>
  <c r="AC40" i="55" s="1"/>
  <c r="K40" i="55"/>
  <c r="T40" i="55" s="1"/>
  <c r="AM40" i="55" s="1"/>
  <c r="X40" i="55"/>
  <c r="Y40" i="55"/>
  <c r="Z40" i="55"/>
  <c r="AA40" i="55"/>
  <c r="AB40" i="55"/>
  <c r="AD40" i="55"/>
  <c r="AE40" i="55"/>
  <c r="AF40" i="55"/>
  <c r="AG40" i="55"/>
  <c r="AH40" i="55"/>
  <c r="AI40" i="55"/>
  <c r="AJ40" i="55"/>
  <c r="AK40" i="55"/>
  <c r="AL40" i="55"/>
  <c r="AP40" i="55"/>
  <c r="H41" i="55"/>
  <c r="AC41" i="55" s="1"/>
  <c r="K41" i="55"/>
  <c r="T41" i="55" s="1"/>
  <c r="AM41" i="55" s="1"/>
  <c r="X41" i="55"/>
  <c r="Y41" i="55"/>
  <c r="Z41" i="55"/>
  <c r="AA41" i="55"/>
  <c r="AB41" i="55"/>
  <c r="AD41" i="55"/>
  <c r="AE41" i="55"/>
  <c r="AF41" i="55"/>
  <c r="AG41" i="55"/>
  <c r="AH41" i="55"/>
  <c r="AI41" i="55"/>
  <c r="AJ41" i="55"/>
  <c r="AK41" i="55"/>
  <c r="AL41" i="55"/>
  <c r="AP41" i="55"/>
  <c r="H42" i="55"/>
  <c r="AC42" i="55" s="1"/>
  <c r="K42" i="55"/>
  <c r="X42" i="55"/>
  <c r="Y42" i="55"/>
  <c r="Z42" i="55"/>
  <c r="AA42" i="55"/>
  <c r="AB42" i="55"/>
  <c r="AD42" i="55"/>
  <c r="AE42" i="55"/>
  <c r="AF42" i="55"/>
  <c r="AG42" i="55"/>
  <c r="AH42" i="55"/>
  <c r="AI42" i="55"/>
  <c r="AJ42" i="55"/>
  <c r="AK42" i="55"/>
  <c r="AL42" i="55"/>
  <c r="AP42" i="55"/>
  <c r="B43" i="55"/>
  <c r="C43" i="55"/>
  <c r="D43" i="55"/>
  <c r="E43" i="55"/>
  <c r="F43" i="55"/>
  <c r="G43" i="55"/>
  <c r="I43" i="55"/>
  <c r="J43" i="55"/>
  <c r="L43" i="55"/>
  <c r="M43" i="55"/>
  <c r="N43" i="55"/>
  <c r="O43" i="55"/>
  <c r="P43" i="55"/>
  <c r="Q43" i="55"/>
  <c r="R43" i="55"/>
  <c r="S43" i="55"/>
  <c r="H45" i="55"/>
  <c r="AC45" i="55" s="1"/>
  <c r="I45" i="55"/>
  <c r="X45" i="55"/>
  <c r="Y45" i="55"/>
  <c r="Z45" i="55"/>
  <c r="AA45" i="55"/>
  <c r="AB45" i="55"/>
  <c r="AE45" i="55"/>
  <c r="AF45" i="55"/>
  <c r="AG45" i="55"/>
  <c r="AH45" i="55"/>
  <c r="AI45" i="55"/>
  <c r="AJ45" i="55"/>
  <c r="AK45" i="55"/>
  <c r="AL45" i="55"/>
  <c r="AP45" i="55"/>
  <c r="H46" i="55"/>
  <c r="AC46" i="55" s="1"/>
  <c r="I46" i="55"/>
  <c r="X46" i="55"/>
  <c r="Y46" i="55"/>
  <c r="Z46" i="55"/>
  <c r="AA46" i="55"/>
  <c r="AB46" i="55"/>
  <c r="AE46" i="55"/>
  <c r="AF46" i="55"/>
  <c r="AG46" i="55"/>
  <c r="AH46" i="55"/>
  <c r="AI46" i="55"/>
  <c r="AJ46" i="55"/>
  <c r="AK46" i="55"/>
  <c r="AL46" i="55"/>
  <c r="AP46" i="55"/>
  <c r="H47" i="55"/>
  <c r="AC47" i="55" s="1"/>
  <c r="K47" i="55"/>
  <c r="T47" i="55" s="1"/>
  <c r="AM47" i="55" s="1"/>
  <c r="X47" i="55"/>
  <c r="Y47" i="55"/>
  <c r="Z47" i="55"/>
  <c r="AA47" i="55"/>
  <c r="AB47" i="55"/>
  <c r="AD47" i="55"/>
  <c r="AE47" i="55"/>
  <c r="AF47" i="55"/>
  <c r="AG47" i="55"/>
  <c r="AH47" i="55"/>
  <c r="AI47" i="55"/>
  <c r="AJ47" i="55"/>
  <c r="AK47" i="55"/>
  <c r="AL47" i="55"/>
  <c r="AP47" i="55"/>
  <c r="H48" i="55"/>
  <c r="AC48" i="55" s="1"/>
  <c r="I48" i="55"/>
  <c r="AD48" i="55" s="1"/>
  <c r="X48" i="55"/>
  <c r="Y48" i="55"/>
  <c r="Z48" i="55"/>
  <c r="AA48" i="55"/>
  <c r="AB48" i="55"/>
  <c r="AE48" i="55"/>
  <c r="AF48" i="55"/>
  <c r="AG48" i="55"/>
  <c r="AH48" i="55"/>
  <c r="AI48" i="55"/>
  <c r="AJ48" i="55"/>
  <c r="AK48" i="55"/>
  <c r="AL48" i="55"/>
  <c r="AP48" i="55"/>
  <c r="H49" i="55"/>
  <c r="AC49" i="55" s="1"/>
  <c r="K49" i="55"/>
  <c r="T49" i="55" s="1"/>
  <c r="AM49" i="55" s="1"/>
  <c r="X49" i="55"/>
  <c r="Y49" i="55"/>
  <c r="Z49" i="55"/>
  <c r="AA49" i="55"/>
  <c r="AB49" i="55"/>
  <c r="AD49" i="55"/>
  <c r="AE49" i="55"/>
  <c r="AF49" i="55"/>
  <c r="AG49" i="55"/>
  <c r="AH49" i="55"/>
  <c r="AI49" i="55"/>
  <c r="AJ49" i="55"/>
  <c r="AK49" i="55"/>
  <c r="AL49" i="55"/>
  <c r="AP49" i="55"/>
  <c r="H50" i="55"/>
  <c r="AC50" i="55" s="1"/>
  <c r="I50" i="55"/>
  <c r="AD50" i="55" s="1"/>
  <c r="X50" i="55"/>
  <c r="Y50" i="55"/>
  <c r="Z50" i="55"/>
  <c r="AA50" i="55"/>
  <c r="AB50" i="55"/>
  <c r="AE50" i="55"/>
  <c r="AF50" i="55"/>
  <c r="AG50" i="55"/>
  <c r="AH50" i="55"/>
  <c r="AI50" i="55"/>
  <c r="AJ50" i="55"/>
  <c r="AK50" i="55"/>
  <c r="AL50" i="55"/>
  <c r="AP50" i="55"/>
  <c r="H51" i="55"/>
  <c r="AC51" i="55" s="1"/>
  <c r="K51" i="55"/>
  <c r="T51" i="55" s="1"/>
  <c r="AM51" i="55" s="1"/>
  <c r="X51" i="55"/>
  <c r="Y51" i="55"/>
  <c r="Z51" i="55"/>
  <c r="AA51" i="55"/>
  <c r="AB51" i="55"/>
  <c r="AD51" i="55"/>
  <c r="AE51" i="55"/>
  <c r="AF51" i="55"/>
  <c r="AG51" i="55"/>
  <c r="AH51" i="55"/>
  <c r="AI51" i="55"/>
  <c r="AJ51" i="55"/>
  <c r="AK51" i="55"/>
  <c r="AL51" i="55"/>
  <c r="AP51" i="55"/>
  <c r="H52" i="55"/>
  <c r="AC52" i="55" s="1"/>
  <c r="K52" i="55"/>
  <c r="T52" i="55" s="1"/>
  <c r="AM52" i="55" s="1"/>
  <c r="X52" i="55"/>
  <c r="Y52" i="55"/>
  <c r="Z52" i="55"/>
  <c r="AA52" i="55"/>
  <c r="AB52" i="55"/>
  <c r="AD52" i="55"/>
  <c r="AE52" i="55"/>
  <c r="AF52" i="55"/>
  <c r="AG52" i="55"/>
  <c r="AH52" i="55"/>
  <c r="AI52" i="55"/>
  <c r="AJ52" i="55"/>
  <c r="AK52" i="55"/>
  <c r="AL52" i="55"/>
  <c r="AP52" i="55"/>
  <c r="H53" i="55"/>
  <c r="AC53" i="55" s="1"/>
  <c r="K53" i="55"/>
  <c r="T53" i="55" s="1"/>
  <c r="AM53" i="55" s="1"/>
  <c r="X53" i="55"/>
  <c r="Y53" i="55"/>
  <c r="Z53" i="55"/>
  <c r="AA53" i="55"/>
  <c r="AB53" i="55"/>
  <c r="AD53" i="55"/>
  <c r="AE53" i="55"/>
  <c r="AF53" i="55"/>
  <c r="AG53" i="55"/>
  <c r="AH53" i="55"/>
  <c r="AI53" i="55"/>
  <c r="AJ53" i="55"/>
  <c r="AK53" i="55"/>
  <c r="AL53" i="55"/>
  <c r="AP53" i="55"/>
  <c r="H54" i="55"/>
  <c r="AC54" i="55" s="1"/>
  <c r="K54" i="55"/>
  <c r="T54" i="55" s="1"/>
  <c r="AM54" i="55" s="1"/>
  <c r="X54" i="55"/>
  <c r="Y54" i="55"/>
  <c r="Z54" i="55"/>
  <c r="AA54" i="55"/>
  <c r="AB54" i="55"/>
  <c r="AD54" i="55"/>
  <c r="AE54" i="55"/>
  <c r="AF54" i="55"/>
  <c r="AG54" i="55"/>
  <c r="AH54" i="55"/>
  <c r="AI54" i="55"/>
  <c r="AJ54" i="55"/>
  <c r="AK54" i="55"/>
  <c r="AL54" i="55"/>
  <c r="AP54" i="55"/>
  <c r="B55" i="55"/>
  <c r="C55" i="55"/>
  <c r="D55" i="55"/>
  <c r="E55" i="55"/>
  <c r="F55" i="55"/>
  <c r="G55" i="55"/>
  <c r="J55" i="55"/>
  <c r="L55" i="55"/>
  <c r="M55" i="55"/>
  <c r="N55" i="55"/>
  <c r="O55" i="55"/>
  <c r="P55" i="55"/>
  <c r="Q55" i="55"/>
  <c r="R55" i="55"/>
  <c r="S55" i="55"/>
  <c r="H57" i="55"/>
  <c r="AC57" i="55" s="1"/>
  <c r="I57" i="55"/>
  <c r="AD57" i="55" s="1"/>
  <c r="X57" i="55"/>
  <c r="Y57" i="55"/>
  <c r="Z57" i="55"/>
  <c r="AA57" i="55"/>
  <c r="AB57" i="55"/>
  <c r="AE57" i="55"/>
  <c r="AF57" i="55"/>
  <c r="AG57" i="55"/>
  <c r="AH57" i="55"/>
  <c r="AI57" i="55"/>
  <c r="AJ57" i="55"/>
  <c r="AK57" i="55"/>
  <c r="AL57" i="55"/>
  <c r="AP57" i="55"/>
  <c r="H58" i="55"/>
  <c r="AC58" i="55" s="1"/>
  <c r="I58" i="55"/>
  <c r="K58" i="55" s="1"/>
  <c r="T58" i="55" s="1"/>
  <c r="AM58" i="55" s="1"/>
  <c r="X58" i="55"/>
  <c r="Y58" i="55"/>
  <c r="Z58" i="55"/>
  <c r="AA58" i="55"/>
  <c r="AB58" i="55"/>
  <c r="AE58" i="55"/>
  <c r="AF58" i="55"/>
  <c r="AG58" i="55"/>
  <c r="AH58" i="55"/>
  <c r="AI58" i="55"/>
  <c r="AJ58" i="55"/>
  <c r="AK58" i="55"/>
  <c r="AL58" i="55"/>
  <c r="AP58" i="55"/>
  <c r="H59" i="55"/>
  <c r="AC59" i="55" s="1"/>
  <c r="K59" i="55"/>
  <c r="T59" i="55" s="1"/>
  <c r="AM59" i="55" s="1"/>
  <c r="X59" i="55"/>
  <c r="Y59" i="55"/>
  <c r="Z59" i="55"/>
  <c r="AA59" i="55"/>
  <c r="AB59" i="55"/>
  <c r="AD59" i="55"/>
  <c r="AE59" i="55"/>
  <c r="AF59" i="55"/>
  <c r="AG59" i="55"/>
  <c r="AH59" i="55"/>
  <c r="AI59" i="55"/>
  <c r="AJ59" i="55"/>
  <c r="AK59" i="55"/>
  <c r="AL59" i="55"/>
  <c r="AP59" i="55"/>
  <c r="H60" i="55"/>
  <c r="AC60" i="55" s="1"/>
  <c r="I60" i="55"/>
  <c r="AD60" i="55" s="1"/>
  <c r="X60" i="55"/>
  <c r="Y60" i="55"/>
  <c r="Z60" i="55"/>
  <c r="AA60" i="55"/>
  <c r="AB60" i="55"/>
  <c r="AE60" i="55"/>
  <c r="AF60" i="55"/>
  <c r="AG60" i="55"/>
  <c r="AH60" i="55"/>
  <c r="AI60" i="55"/>
  <c r="AJ60" i="55"/>
  <c r="AK60" i="55"/>
  <c r="AL60" i="55"/>
  <c r="AP60" i="55"/>
  <c r="H61" i="55"/>
  <c r="AC61" i="55" s="1"/>
  <c r="I61" i="55"/>
  <c r="K61" i="55" s="1"/>
  <c r="X61" i="55"/>
  <c r="Y61" i="55"/>
  <c r="Z61" i="55"/>
  <c r="AA61" i="55"/>
  <c r="AB61" i="55"/>
  <c r="AE61" i="55"/>
  <c r="AF61" i="55"/>
  <c r="AG61" i="55"/>
  <c r="AH61" i="55"/>
  <c r="AI61" i="55"/>
  <c r="AJ61" i="55"/>
  <c r="AK61" i="55"/>
  <c r="AL61" i="55"/>
  <c r="AP61" i="55"/>
  <c r="H62" i="55"/>
  <c r="AC62" i="55" s="1"/>
  <c r="K62" i="55"/>
  <c r="T62" i="55" s="1"/>
  <c r="AM62" i="55" s="1"/>
  <c r="X62" i="55"/>
  <c r="Y62" i="55"/>
  <c r="Z62" i="55"/>
  <c r="AA62" i="55"/>
  <c r="AB62" i="55"/>
  <c r="AD62" i="55"/>
  <c r="AE62" i="55"/>
  <c r="AF62" i="55"/>
  <c r="AG62" i="55"/>
  <c r="AH62" i="55"/>
  <c r="AI62" i="55"/>
  <c r="AJ62" i="55"/>
  <c r="AK62" i="55"/>
  <c r="AL62" i="55"/>
  <c r="AP62" i="55"/>
  <c r="H63" i="55"/>
  <c r="AC63" i="55" s="1"/>
  <c r="K63" i="55"/>
  <c r="T63" i="55" s="1"/>
  <c r="AM63" i="55" s="1"/>
  <c r="X63" i="55"/>
  <c r="Y63" i="55"/>
  <c r="Z63" i="55"/>
  <c r="AA63" i="55"/>
  <c r="AB63" i="55"/>
  <c r="AD63" i="55"/>
  <c r="AE63" i="55"/>
  <c r="AF63" i="55"/>
  <c r="AG63" i="55"/>
  <c r="AH63" i="55"/>
  <c r="AI63" i="55"/>
  <c r="AJ63" i="55"/>
  <c r="AK63" i="55"/>
  <c r="AL63" i="55"/>
  <c r="AP63" i="55"/>
  <c r="H64" i="55"/>
  <c r="AC64" i="55" s="1"/>
  <c r="K64" i="55"/>
  <c r="T64" i="55" s="1"/>
  <c r="AM64" i="55" s="1"/>
  <c r="X64" i="55"/>
  <c r="Y64" i="55"/>
  <c r="Z64" i="55"/>
  <c r="AA64" i="55"/>
  <c r="AB64" i="55"/>
  <c r="AD64" i="55"/>
  <c r="AE64" i="55"/>
  <c r="AF64" i="55"/>
  <c r="AG64" i="55"/>
  <c r="AH64" i="55"/>
  <c r="AI64" i="55"/>
  <c r="AJ64" i="55"/>
  <c r="AK64" i="55"/>
  <c r="AL64" i="55"/>
  <c r="AP64" i="55"/>
  <c r="H65" i="55"/>
  <c r="AC65" i="55" s="1"/>
  <c r="K65" i="55"/>
  <c r="T65" i="55" s="1"/>
  <c r="AM65" i="55" s="1"/>
  <c r="X65" i="55"/>
  <c r="Y65" i="55"/>
  <c r="Z65" i="55"/>
  <c r="AA65" i="55"/>
  <c r="AB65" i="55"/>
  <c r="AD65" i="55"/>
  <c r="AE65" i="55"/>
  <c r="AF65" i="55"/>
  <c r="AG65" i="55"/>
  <c r="AH65" i="55"/>
  <c r="AI65" i="55"/>
  <c r="AJ65" i="55"/>
  <c r="AK65" i="55"/>
  <c r="AL65" i="55"/>
  <c r="AP65" i="55"/>
  <c r="H66" i="55"/>
  <c r="AC66" i="55" s="1"/>
  <c r="K66" i="55"/>
  <c r="T66" i="55" s="1"/>
  <c r="AM66" i="55" s="1"/>
  <c r="X66" i="55"/>
  <c r="Y66" i="55"/>
  <c r="Z66" i="55"/>
  <c r="AA66" i="55"/>
  <c r="AB66" i="55"/>
  <c r="AD66" i="55"/>
  <c r="AE66" i="55"/>
  <c r="AF66" i="55"/>
  <c r="AG66" i="55"/>
  <c r="AH66" i="55"/>
  <c r="AI66" i="55"/>
  <c r="AJ66" i="55"/>
  <c r="AK66" i="55"/>
  <c r="AL66" i="55"/>
  <c r="AP66" i="55"/>
  <c r="H67" i="55"/>
  <c r="AC67" i="55" s="1"/>
  <c r="K67" i="55"/>
  <c r="T67" i="55" s="1"/>
  <c r="AM67" i="55" s="1"/>
  <c r="X67" i="55"/>
  <c r="Y67" i="55"/>
  <c r="Z67" i="55"/>
  <c r="AA67" i="55"/>
  <c r="AB67" i="55"/>
  <c r="AD67" i="55"/>
  <c r="AE67" i="55"/>
  <c r="AF67" i="55"/>
  <c r="AG67" i="55"/>
  <c r="AH67" i="55"/>
  <c r="AI67" i="55"/>
  <c r="AJ67" i="55"/>
  <c r="AK67" i="55"/>
  <c r="AL67" i="55"/>
  <c r="AP67" i="55"/>
  <c r="B68" i="55"/>
  <c r="C68" i="55"/>
  <c r="D68" i="55"/>
  <c r="E68" i="55"/>
  <c r="F68" i="55"/>
  <c r="G68" i="55"/>
  <c r="J68" i="55"/>
  <c r="L68" i="55"/>
  <c r="M68" i="55"/>
  <c r="N68" i="55"/>
  <c r="O68" i="55"/>
  <c r="P68" i="55"/>
  <c r="Q68" i="55"/>
  <c r="R68" i="55"/>
  <c r="S68" i="55"/>
  <c r="H70" i="55"/>
  <c r="AC70" i="55" s="1"/>
  <c r="I70" i="55"/>
  <c r="K70" i="55" s="1"/>
  <c r="X70" i="55"/>
  <c r="Y70" i="55"/>
  <c r="Z70" i="55"/>
  <c r="AA70" i="55"/>
  <c r="AB70" i="55"/>
  <c r="AE70" i="55"/>
  <c r="AF70" i="55"/>
  <c r="AG70" i="55"/>
  <c r="AH70" i="55"/>
  <c r="AI70" i="55"/>
  <c r="AJ70" i="55"/>
  <c r="AK70" i="55"/>
  <c r="AL70" i="55"/>
  <c r="AP70" i="55"/>
  <c r="H71" i="55"/>
  <c r="K71" i="55"/>
  <c r="T71" i="55" s="1"/>
  <c r="AM71" i="55" s="1"/>
  <c r="X71" i="55"/>
  <c r="Y71" i="55"/>
  <c r="Z71" i="55"/>
  <c r="AA71" i="55"/>
  <c r="AB71" i="55"/>
  <c r="AD71" i="55"/>
  <c r="AE71" i="55"/>
  <c r="AF71" i="55"/>
  <c r="AG71" i="55"/>
  <c r="AH71" i="55"/>
  <c r="AI71" i="55"/>
  <c r="AJ71" i="55"/>
  <c r="AK71" i="55"/>
  <c r="AL71" i="55"/>
  <c r="AP71" i="55"/>
  <c r="H72" i="55"/>
  <c r="AC72" i="55" s="1"/>
  <c r="I72" i="55"/>
  <c r="AD72" i="55" s="1"/>
  <c r="X72" i="55"/>
  <c r="Y72" i="55"/>
  <c r="Z72" i="55"/>
  <c r="AA72" i="55"/>
  <c r="AB72" i="55"/>
  <c r="AE72" i="55"/>
  <c r="AF72" i="55"/>
  <c r="AG72" i="55"/>
  <c r="AH72" i="55"/>
  <c r="AI72" i="55"/>
  <c r="AJ72" i="55"/>
  <c r="AK72" i="55"/>
  <c r="AL72" i="55"/>
  <c r="AP72" i="55"/>
  <c r="H73" i="55"/>
  <c r="AC73" i="55" s="1"/>
  <c r="I73" i="55"/>
  <c r="X73" i="55"/>
  <c r="Y73" i="55"/>
  <c r="Z73" i="55"/>
  <c r="AA73" i="55"/>
  <c r="AB73" i="55"/>
  <c r="AE73" i="55"/>
  <c r="AF73" i="55"/>
  <c r="AG73" i="55"/>
  <c r="AH73" i="55"/>
  <c r="AI73" i="55"/>
  <c r="AJ73" i="55"/>
  <c r="AK73" i="55"/>
  <c r="AL73" i="55"/>
  <c r="AP73" i="55"/>
  <c r="H74" i="55"/>
  <c r="AC74" i="55" s="1"/>
  <c r="K74" i="55"/>
  <c r="T74" i="55" s="1"/>
  <c r="AM74" i="55" s="1"/>
  <c r="X74" i="55"/>
  <c r="Y74" i="55"/>
  <c r="Z74" i="55"/>
  <c r="AA74" i="55"/>
  <c r="AB74" i="55"/>
  <c r="AD74" i="55"/>
  <c r="AE74" i="55"/>
  <c r="AF74" i="55"/>
  <c r="AG74" i="55"/>
  <c r="AH74" i="55"/>
  <c r="AI74" i="55"/>
  <c r="AJ74" i="55"/>
  <c r="AK74" i="55"/>
  <c r="AL74" i="55"/>
  <c r="AP74" i="55"/>
  <c r="H75" i="55"/>
  <c r="AC75" i="55" s="1"/>
  <c r="I75" i="55"/>
  <c r="X75" i="55"/>
  <c r="Y75" i="55"/>
  <c r="Z75" i="55"/>
  <c r="AA75" i="55"/>
  <c r="AB75" i="55"/>
  <c r="AE75" i="55"/>
  <c r="AF75" i="55"/>
  <c r="AG75" i="55"/>
  <c r="AH75" i="55"/>
  <c r="AI75" i="55"/>
  <c r="AJ75" i="55"/>
  <c r="AK75" i="55"/>
  <c r="AL75" i="55"/>
  <c r="AP75" i="55"/>
  <c r="H76" i="55"/>
  <c r="AC76" i="55" s="1"/>
  <c r="I76" i="55"/>
  <c r="AD76" i="55" s="1"/>
  <c r="X76" i="55"/>
  <c r="Y76" i="55"/>
  <c r="Z76" i="55"/>
  <c r="AA76" i="55"/>
  <c r="AB76" i="55"/>
  <c r="AE76" i="55"/>
  <c r="AF76" i="55"/>
  <c r="AG76" i="55"/>
  <c r="AH76" i="55"/>
  <c r="AI76" i="55"/>
  <c r="AJ76" i="55"/>
  <c r="AK76" i="55"/>
  <c r="AL76" i="55"/>
  <c r="AP76" i="55"/>
  <c r="H77" i="55"/>
  <c r="AC77" i="55" s="1"/>
  <c r="K77" i="55"/>
  <c r="T77" i="55" s="1"/>
  <c r="AM77" i="55" s="1"/>
  <c r="X77" i="55"/>
  <c r="Y77" i="55"/>
  <c r="Z77" i="55"/>
  <c r="AA77" i="55"/>
  <c r="AB77" i="55"/>
  <c r="AD77" i="55"/>
  <c r="AE77" i="55"/>
  <c r="AF77" i="55"/>
  <c r="AG77" i="55"/>
  <c r="AH77" i="55"/>
  <c r="AI77" i="55"/>
  <c r="AJ77" i="55"/>
  <c r="AK77" i="55"/>
  <c r="AL77" i="55"/>
  <c r="AP77" i="55"/>
  <c r="B78" i="55"/>
  <c r="C78" i="55"/>
  <c r="D78" i="55"/>
  <c r="E78" i="55"/>
  <c r="F78" i="55"/>
  <c r="G78" i="55"/>
  <c r="J78" i="55"/>
  <c r="L78" i="55"/>
  <c r="M78" i="55"/>
  <c r="N78" i="55"/>
  <c r="O78" i="55"/>
  <c r="P78" i="55"/>
  <c r="Q78" i="55"/>
  <c r="R78" i="55"/>
  <c r="S78" i="55"/>
  <c r="H80" i="55"/>
  <c r="AC80" i="55" s="1"/>
  <c r="K80" i="55"/>
  <c r="T80" i="55" s="1"/>
  <c r="AM80" i="55" s="1"/>
  <c r="X80" i="55"/>
  <c r="Y80" i="55"/>
  <c r="Z80" i="55"/>
  <c r="AA80" i="55"/>
  <c r="AB80" i="55"/>
  <c r="AD80" i="55"/>
  <c r="AE80" i="55"/>
  <c r="AF80" i="55"/>
  <c r="AG80" i="55"/>
  <c r="AH80" i="55"/>
  <c r="AI80" i="55"/>
  <c r="AJ80" i="55"/>
  <c r="AK80" i="55"/>
  <c r="AL80" i="55"/>
  <c r="AP80" i="55"/>
  <c r="H81" i="55"/>
  <c r="AC81" i="55" s="1"/>
  <c r="K81" i="55"/>
  <c r="T81" i="55" s="1"/>
  <c r="AM81" i="55" s="1"/>
  <c r="X81" i="55"/>
  <c r="Y81" i="55"/>
  <c r="Z81" i="55"/>
  <c r="AA81" i="55"/>
  <c r="AB81" i="55"/>
  <c r="AD81" i="55"/>
  <c r="AE81" i="55"/>
  <c r="AF81" i="55"/>
  <c r="AG81" i="55"/>
  <c r="AH81" i="55"/>
  <c r="AI81" i="55"/>
  <c r="AJ81" i="55"/>
  <c r="AK81" i="55"/>
  <c r="AL81" i="55"/>
  <c r="AP81" i="55"/>
  <c r="H82" i="55"/>
  <c r="AC82" i="55" s="1"/>
  <c r="I82" i="55"/>
  <c r="I92" i="55" s="1"/>
  <c r="X82" i="55"/>
  <c r="Y82" i="55"/>
  <c r="Z82" i="55"/>
  <c r="AA82" i="55"/>
  <c r="AB82" i="55"/>
  <c r="AE82" i="55"/>
  <c r="AF82" i="55"/>
  <c r="AG82" i="55"/>
  <c r="AH82" i="55"/>
  <c r="AI82" i="55"/>
  <c r="AJ82" i="55"/>
  <c r="AK82" i="55"/>
  <c r="AL82" i="55"/>
  <c r="AP82" i="55"/>
  <c r="H83" i="55"/>
  <c r="AC83" i="55" s="1"/>
  <c r="K83" i="55"/>
  <c r="T83" i="55" s="1"/>
  <c r="AM83" i="55" s="1"/>
  <c r="X83" i="55"/>
  <c r="Y83" i="55"/>
  <c r="Z83" i="55"/>
  <c r="AA83" i="55"/>
  <c r="AB83" i="55"/>
  <c r="AD83" i="55"/>
  <c r="AE83" i="55"/>
  <c r="AF83" i="55"/>
  <c r="AG83" i="55"/>
  <c r="AH83" i="55"/>
  <c r="AI83" i="55"/>
  <c r="AJ83" i="55"/>
  <c r="AK83" i="55"/>
  <c r="AL83" i="55"/>
  <c r="AP83" i="55"/>
  <c r="H84" i="55"/>
  <c r="AC84" i="55" s="1"/>
  <c r="K84" i="55"/>
  <c r="T84" i="55" s="1"/>
  <c r="AM84" i="55" s="1"/>
  <c r="X84" i="55"/>
  <c r="Y84" i="55"/>
  <c r="Z84" i="55"/>
  <c r="AA84" i="55"/>
  <c r="AB84" i="55"/>
  <c r="AD84" i="55"/>
  <c r="AE84" i="55"/>
  <c r="AF84" i="55"/>
  <c r="AG84" i="55"/>
  <c r="AH84" i="55"/>
  <c r="AI84" i="55"/>
  <c r="AJ84" i="55"/>
  <c r="AK84" i="55"/>
  <c r="AL84" i="55"/>
  <c r="AP84" i="55"/>
  <c r="H85" i="55"/>
  <c r="AC85" i="55" s="1"/>
  <c r="K85" i="55"/>
  <c r="T85" i="55" s="1"/>
  <c r="AM85" i="55" s="1"/>
  <c r="X85" i="55"/>
  <c r="Y85" i="55"/>
  <c r="Z85" i="55"/>
  <c r="AA85" i="55"/>
  <c r="AB85" i="55"/>
  <c r="AD85" i="55"/>
  <c r="AE85" i="55"/>
  <c r="AF85" i="55"/>
  <c r="AG85" i="55"/>
  <c r="AH85" i="55"/>
  <c r="AI85" i="55"/>
  <c r="AJ85" i="55"/>
  <c r="AK85" i="55"/>
  <c r="AL85" i="55"/>
  <c r="AP85" i="55"/>
  <c r="H86" i="55"/>
  <c r="AC86" i="55" s="1"/>
  <c r="K86" i="55"/>
  <c r="T86" i="55" s="1"/>
  <c r="AM86" i="55" s="1"/>
  <c r="X86" i="55"/>
  <c r="Y86" i="55"/>
  <c r="Z86" i="55"/>
  <c r="AA86" i="55"/>
  <c r="AB86" i="55"/>
  <c r="AD86" i="55"/>
  <c r="AE86" i="55"/>
  <c r="AF86" i="55"/>
  <c r="AG86" i="55"/>
  <c r="AH86" i="55"/>
  <c r="AI86" i="55"/>
  <c r="AJ86" i="55"/>
  <c r="AK86" i="55"/>
  <c r="AL86" i="55"/>
  <c r="AP86" i="55"/>
  <c r="H87" i="55"/>
  <c r="AC87" i="55" s="1"/>
  <c r="K87" i="55"/>
  <c r="T87" i="55" s="1"/>
  <c r="AM87" i="55" s="1"/>
  <c r="X87" i="55"/>
  <c r="Y87" i="55"/>
  <c r="Z87" i="55"/>
  <c r="AA87" i="55"/>
  <c r="AB87" i="55"/>
  <c r="AD87" i="55"/>
  <c r="AE87" i="55"/>
  <c r="AF87" i="55"/>
  <c r="AG87" i="55"/>
  <c r="AH87" i="55"/>
  <c r="AI87" i="55"/>
  <c r="AJ87" i="55"/>
  <c r="AK87" i="55"/>
  <c r="AL87" i="55"/>
  <c r="AP87" i="55"/>
  <c r="H88" i="55"/>
  <c r="AC88" i="55" s="1"/>
  <c r="K88" i="55"/>
  <c r="T88" i="55" s="1"/>
  <c r="AM88" i="55" s="1"/>
  <c r="X88" i="55"/>
  <c r="Y88" i="55"/>
  <c r="Z88" i="55"/>
  <c r="AA88" i="55"/>
  <c r="AB88" i="55"/>
  <c r="AD88" i="55"/>
  <c r="AE88" i="55"/>
  <c r="AF88" i="55"/>
  <c r="AG88" i="55"/>
  <c r="AH88" i="55"/>
  <c r="AI88" i="55"/>
  <c r="AJ88" i="55"/>
  <c r="AK88" i="55"/>
  <c r="AL88" i="55"/>
  <c r="AP88" i="55"/>
  <c r="H89" i="55"/>
  <c r="AC89" i="55" s="1"/>
  <c r="K89" i="55"/>
  <c r="T89" i="55" s="1"/>
  <c r="AM89" i="55" s="1"/>
  <c r="X89" i="55"/>
  <c r="Y89" i="55"/>
  <c r="Z89" i="55"/>
  <c r="AA89" i="55"/>
  <c r="AB89" i="55"/>
  <c r="AD89" i="55"/>
  <c r="AE89" i="55"/>
  <c r="AF89" i="55"/>
  <c r="AG89" i="55"/>
  <c r="AH89" i="55"/>
  <c r="AI89" i="55"/>
  <c r="AJ89" i="55"/>
  <c r="AK89" i="55"/>
  <c r="AL89" i="55"/>
  <c r="AP89" i="55"/>
  <c r="H90" i="55"/>
  <c r="AC90" i="55" s="1"/>
  <c r="K90" i="55"/>
  <c r="T90" i="55" s="1"/>
  <c r="AM90" i="55" s="1"/>
  <c r="X90" i="55"/>
  <c r="Y90" i="55"/>
  <c r="Z90" i="55"/>
  <c r="AA90" i="55"/>
  <c r="AB90" i="55"/>
  <c r="AD90" i="55"/>
  <c r="AE90" i="55"/>
  <c r="AF90" i="55"/>
  <c r="AG90" i="55"/>
  <c r="AH90" i="55"/>
  <c r="AI90" i="55"/>
  <c r="AJ90" i="55"/>
  <c r="AK90" i="55"/>
  <c r="AL90" i="55"/>
  <c r="AP90" i="55"/>
  <c r="H91" i="55"/>
  <c r="AC91" i="55" s="1"/>
  <c r="K91" i="55"/>
  <c r="T91" i="55" s="1"/>
  <c r="AM91" i="55" s="1"/>
  <c r="X91" i="55"/>
  <c r="Y91" i="55"/>
  <c r="Z91" i="55"/>
  <c r="AA91" i="55"/>
  <c r="AB91" i="55"/>
  <c r="AD91" i="55"/>
  <c r="AE91" i="55"/>
  <c r="AF91" i="55"/>
  <c r="AG91" i="55"/>
  <c r="AH91" i="55"/>
  <c r="AI91" i="55"/>
  <c r="AJ91" i="55"/>
  <c r="AK91" i="55"/>
  <c r="AL91" i="55"/>
  <c r="AP91" i="55"/>
  <c r="B92" i="55"/>
  <c r="C92" i="55"/>
  <c r="D92" i="55"/>
  <c r="E92" i="55"/>
  <c r="F92" i="55"/>
  <c r="G92" i="55"/>
  <c r="J92" i="55"/>
  <c r="L92" i="55"/>
  <c r="M92" i="55"/>
  <c r="N92" i="55"/>
  <c r="O92" i="55"/>
  <c r="P92" i="55"/>
  <c r="Q92" i="55"/>
  <c r="R92" i="55"/>
  <c r="S92" i="55"/>
  <c r="H94" i="55"/>
  <c r="I94" i="55"/>
  <c r="K94" i="55" s="1"/>
  <c r="T94" i="55" s="1"/>
  <c r="X94" i="55"/>
  <c r="Y94" i="55"/>
  <c r="Z94" i="55"/>
  <c r="AA94" i="55"/>
  <c r="AB94" i="55"/>
  <c r="AE94" i="55"/>
  <c r="AF94" i="55"/>
  <c r="AG94" i="55"/>
  <c r="AH94" i="55"/>
  <c r="AI94" i="55"/>
  <c r="AJ94" i="55"/>
  <c r="AK94" i="55"/>
  <c r="AL94" i="55"/>
  <c r="AP94" i="55"/>
  <c r="H95" i="55"/>
  <c r="AC95" i="55" s="1"/>
  <c r="K95" i="55"/>
  <c r="T95" i="55" s="1"/>
  <c r="AM95" i="55" s="1"/>
  <c r="X95" i="55"/>
  <c r="Y95" i="55"/>
  <c r="Z95" i="55"/>
  <c r="AA95" i="55"/>
  <c r="AB95" i="55"/>
  <c r="AD95" i="55"/>
  <c r="AE95" i="55"/>
  <c r="AF95" i="55"/>
  <c r="AG95" i="55"/>
  <c r="AH95" i="55"/>
  <c r="AI95" i="55"/>
  <c r="AJ95" i="55"/>
  <c r="AK95" i="55"/>
  <c r="AL95" i="55"/>
  <c r="AP95" i="55"/>
  <c r="H96" i="55"/>
  <c r="AC96" i="55" s="1"/>
  <c r="K96" i="55"/>
  <c r="T96" i="55" s="1"/>
  <c r="AM96" i="55" s="1"/>
  <c r="X96" i="55"/>
  <c r="Y96" i="55"/>
  <c r="Z96" i="55"/>
  <c r="AA96" i="55"/>
  <c r="AB96" i="55"/>
  <c r="AD96" i="55"/>
  <c r="AE96" i="55"/>
  <c r="AF96" i="55"/>
  <c r="AG96" i="55"/>
  <c r="AH96" i="55"/>
  <c r="AI96" i="55"/>
  <c r="AJ96" i="55"/>
  <c r="AK96" i="55"/>
  <c r="AL96" i="55"/>
  <c r="AP96" i="55"/>
  <c r="H97" i="55"/>
  <c r="AC97" i="55" s="1"/>
  <c r="K97" i="55"/>
  <c r="T97" i="55" s="1"/>
  <c r="AM97" i="55" s="1"/>
  <c r="X97" i="55"/>
  <c r="Y97" i="55"/>
  <c r="Z97" i="55"/>
  <c r="AA97" i="55"/>
  <c r="AB97" i="55"/>
  <c r="AD97" i="55"/>
  <c r="AE97" i="55"/>
  <c r="AF97" i="55"/>
  <c r="AG97" i="55"/>
  <c r="AH97" i="55"/>
  <c r="AI97" i="55"/>
  <c r="AJ97" i="55"/>
  <c r="AK97" i="55"/>
  <c r="AL97" i="55"/>
  <c r="AP97" i="55"/>
  <c r="H98" i="55"/>
  <c r="AC98" i="55" s="1"/>
  <c r="K98" i="55"/>
  <c r="T98" i="55" s="1"/>
  <c r="AM98" i="55" s="1"/>
  <c r="X98" i="55"/>
  <c r="Y98" i="55"/>
  <c r="Z98" i="55"/>
  <c r="AA98" i="55"/>
  <c r="AB98" i="55"/>
  <c r="AD98" i="55"/>
  <c r="AE98" i="55"/>
  <c r="AF98" i="55"/>
  <c r="AG98" i="55"/>
  <c r="AH98" i="55"/>
  <c r="AI98" i="55"/>
  <c r="AJ98" i="55"/>
  <c r="AK98" i="55"/>
  <c r="AL98" i="55"/>
  <c r="AP98" i="55"/>
  <c r="H99" i="55"/>
  <c r="AC99" i="55" s="1"/>
  <c r="K99" i="55"/>
  <c r="X99" i="55"/>
  <c r="Y99" i="55"/>
  <c r="Z99" i="55"/>
  <c r="AA99" i="55"/>
  <c r="AB99" i="55"/>
  <c r="AD99" i="55"/>
  <c r="AE99" i="55"/>
  <c r="AF99" i="55"/>
  <c r="AG99" i="55"/>
  <c r="AH99" i="55"/>
  <c r="AI99" i="55"/>
  <c r="AJ99" i="55"/>
  <c r="AK99" i="55"/>
  <c r="AL99" i="55"/>
  <c r="AP99" i="55"/>
  <c r="H100" i="55"/>
  <c r="AC100" i="55" s="1"/>
  <c r="K100" i="55"/>
  <c r="O100" i="55"/>
  <c r="AH100" i="55" s="1"/>
  <c r="X100" i="55"/>
  <c r="Y100" i="55"/>
  <c r="Z100" i="55"/>
  <c r="AA100" i="55"/>
  <c r="AB100" i="55"/>
  <c r="AD100" i="55"/>
  <c r="AE100" i="55"/>
  <c r="AF100" i="55"/>
  <c r="AG100" i="55"/>
  <c r="AI100" i="55"/>
  <c r="AJ100" i="55"/>
  <c r="AK100" i="55"/>
  <c r="AL100" i="55"/>
  <c r="AP100" i="55"/>
  <c r="H101" i="55"/>
  <c r="AC101" i="55" s="1"/>
  <c r="K101" i="55"/>
  <c r="T101" i="55" s="1"/>
  <c r="AM101" i="55" s="1"/>
  <c r="X101" i="55"/>
  <c r="Y101" i="55"/>
  <c r="Z101" i="55"/>
  <c r="AA101" i="55"/>
  <c r="AB101" i="55"/>
  <c r="AD101" i="55"/>
  <c r="AE101" i="55"/>
  <c r="AF101" i="55"/>
  <c r="AG101" i="55"/>
  <c r="AH101" i="55"/>
  <c r="AI101" i="55"/>
  <c r="AJ101" i="55"/>
  <c r="AK101" i="55"/>
  <c r="AL101" i="55"/>
  <c r="AP101" i="55"/>
  <c r="H102" i="55"/>
  <c r="AC102" i="55" s="1"/>
  <c r="K102" i="55"/>
  <c r="T102" i="55" s="1"/>
  <c r="AM102" i="55" s="1"/>
  <c r="X102" i="55"/>
  <c r="Y102" i="55"/>
  <c r="Z102" i="55"/>
  <c r="AA102" i="55"/>
  <c r="AB102" i="55"/>
  <c r="AD102" i="55"/>
  <c r="AE102" i="55"/>
  <c r="AF102" i="55"/>
  <c r="AG102" i="55"/>
  <c r="AH102" i="55"/>
  <c r="AI102" i="55"/>
  <c r="AJ102" i="55"/>
  <c r="AK102" i="55"/>
  <c r="AL102" i="55"/>
  <c r="AP102" i="55"/>
  <c r="H103" i="55"/>
  <c r="AC103" i="55" s="1"/>
  <c r="K103" i="55"/>
  <c r="T103" i="55" s="1"/>
  <c r="AM103" i="55" s="1"/>
  <c r="X103" i="55"/>
  <c r="Y103" i="55"/>
  <c r="Z103" i="55"/>
  <c r="AA103" i="55"/>
  <c r="AB103" i="55"/>
  <c r="AD103" i="55"/>
  <c r="AE103" i="55"/>
  <c r="AF103" i="55"/>
  <c r="AG103" i="55"/>
  <c r="AH103" i="55"/>
  <c r="AI103" i="55"/>
  <c r="AJ103" i="55"/>
  <c r="AK103" i="55"/>
  <c r="AL103" i="55"/>
  <c r="AP103" i="55"/>
  <c r="H104" i="55"/>
  <c r="AC104" i="55" s="1"/>
  <c r="K104" i="55"/>
  <c r="T104" i="55" s="1"/>
  <c r="AM104" i="55" s="1"/>
  <c r="X104" i="55"/>
  <c r="Y104" i="55"/>
  <c r="Z104" i="55"/>
  <c r="AA104" i="55"/>
  <c r="AB104" i="55"/>
  <c r="AD104" i="55"/>
  <c r="AE104" i="55"/>
  <c r="AF104" i="55"/>
  <c r="AG104" i="55"/>
  <c r="AH104" i="55"/>
  <c r="AI104" i="55"/>
  <c r="AJ104" i="55"/>
  <c r="AK104" i="55"/>
  <c r="AL104" i="55"/>
  <c r="AP104" i="55"/>
  <c r="H105" i="55"/>
  <c r="AC105" i="55" s="1"/>
  <c r="K105" i="55"/>
  <c r="T105" i="55" s="1"/>
  <c r="AM105" i="55" s="1"/>
  <c r="X105" i="55"/>
  <c r="Y105" i="55"/>
  <c r="Z105" i="55"/>
  <c r="AA105" i="55"/>
  <c r="AB105" i="55"/>
  <c r="AD105" i="55"/>
  <c r="AE105" i="55"/>
  <c r="AF105" i="55"/>
  <c r="AG105" i="55"/>
  <c r="AH105" i="55"/>
  <c r="AI105" i="55"/>
  <c r="AJ105" i="55"/>
  <c r="AK105" i="55"/>
  <c r="AL105" i="55"/>
  <c r="AP105" i="55"/>
  <c r="H106" i="55"/>
  <c r="AC106" i="55" s="1"/>
  <c r="K106" i="55"/>
  <c r="T106" i="55" s="1"/>
  <c r="AM106" i="55" s="1"/>
  <c r="X106" i="55"/>
  <c r="Y106" i="55"/>
  <c r="Z106" i="55"/>
  <c r="AA106" i="55"/>
  <c r="AB106" i="55"/>
  <c r="AD106" i="55"/>
  <c r="AE106" i="55"/>
  <c r="AF106" i="55"/>
  <c r="AG106" i="55"/>
  <c r="AH106" i="55"/>
  <c r="AI106" i="55"/>
  <c r="AJ106" i="55"/>
  <c r="AK106" i="55"/>
  <c r="AL106" i="55"/>
  <c r="AP106" i="55"/>
  <c r="H107" i="55"/>
  <c r="AC107" i="55" s="1"/>
  <c r="K107" i="55"/>
  <c r="T107" i="55" s="1"/>
  <c r="AM107" i="55" s="1"/>
  <c r="X107" i="55"/>
  <c r="Y107" i="55"/>
  <c r="Z107" i="55"/>
  <c r="AA107" i="55"/>
  <c r="AB107" i="55"/>
  <c r="AD107" i="55"/>
  <c r="AE107" i="55"/>
  <c r="AF107" i="55"/>
  <c r="AG107" i="55"/>
  <c r="AH107" i="55"/>
  <c r="AI107" i="55"/>
  <c r="AJ107" i="55"/>
  <c r="AK107" i="55"/>
  <c r="AL107" i="55"/>
  <c r="AP107" i="55"/>
  <c r="B108" i="55"/>
  <c r="C108" i="55"/>
  <c r="D108" i="55"/>
  <c r="E108" i="55"/>
  <c r="F108" i="55"/>
  <c r="G108" i="55"/>
  <c r="J108" i="55"/>
  <c r="L108" i="55"/>
  <c r="M108" i="55"/>
  <c r="N108" i="55"/>
  <c r="P108" i="55"/>
  <c r="Q108" i="55"/>
  <c r="R108" i="55"/>
  <c r="S108" i="55"/>
  <c r="H110" i="55"/>
  <c r="I110" i="55"/>
  <c r="K110" i="55" s="1"/>
  <c r="T110" i="55" s="1"/>
  <c r="AM110" i="55" s="1"/>
  <c r="X110" i="55"/>
  <c r="Y110" i="55"/>
  <c r="Z110" i="55"/>
  <c r="AA110" i="55"/>
  <c r="AB110" i="55"/>
  <c r="AE110" i="55"/>
  <c r="AF110" i="55"/>
  <c r="AG110" i="55"/>
  <c r="AH110" i="55"/>
  <c r="AI110" i="55"/>
  <c r="AJ110" i="55"/>
  <c r="AK110" i="55"/>
  <c r="AL110" i="55"/>
  <c r="AP110" i="55"/>
  <c r="H111" i="55"/>
  <c r="AC111" i="55" s="1"/>
  <c r="K111" i="55"/>
  <c r="T111" i="55" s="1"/>
  <c r="AM111" i="55" s="1"/>
  <c r="X111" i="55"/>
  <c r="Y111" i="55"/>
  <c r="Z111" i="55"/>
  <c r="AA111" i="55"/>
  <c r="AB111" i="55"/>
  <c r="AD111" i="55"/>
  <c r="AE111" i="55"/>
  <c r="AF111" i="55"/>
  <c r="AG111" i="55"/>
  <c r="AH111" i="55"/>
  <c r="AI111" i="55"/>
  <c r="AJ111" i="55"/>
  <c r="AK111" i="55"/>
  <c r="AL111" i="55"/>
  <c r="AP111" i="55"/>
  <c r="H112" i="55"/>
  <c r="AC112" i="55" s="1"/>
  <c r="I112" i="55"/>
  <c r="X112" i="55"/>
  <c r="Y112" i="55"/>
  <c r="Z112" i="55"/>
  <c r="AA112" i="55"/>
  <c r="AB112" i="55"/>
  <c r="AE112" i="55"/>
  <c r="AF112" i="55"/>
  <c r="AG112" i="55"/>
  <c r="AH112" i="55"/>
  <c r="AI112" i="55"/>
  <c r="AJ112" i="55"/>
  <c r="AK112" i="55"/>
  <c r="AL112" i="55"/>
  <c r="AP112" i="55"/>
  <c r="H113" i="55"/>
  <c r="AC113" i="55" s="1"/>
  <c r="K113" i="55"/>
  <c r="T113" i="55" s="1"/>
  <c r="AM113" i="55" s="1"/>
  <c r="X113" i="55"/>
  <c r="Y113" i="55"/>
  <c r="Z113" i="55"/>
  <c r="AA113" i="55"/>
  <c r="AB113" i="55"/>
  <c r="AD113" i="55"/>
  <c r="AE113" i="55"/>
  <c r="AF113" i="55"/>
  <c r="AG113" i="55"/>
  <c r="AH113" i="55"/>
  <c r="AI113" i="55"/>
  <c r="AJ113" i="55"/>
  <c r="AK113" i="55"/>
  <c r="AL113" i="55"/>
  <c r="AP113" i="55"/>
  <c r="H114" i="55"/>
  <c r="AC114" i="55" s="1"/>
  <c r="K114" i="55"/>
  <c r="T114" i="55" s="1"/>
  <c r="AM114" i="55" s="1"/>
  <c r="X114" i="55"/>
  <c r="Y114" i="55"/>
  <c r="Z114" i="55"/>
  <c r="AA114" i="55"/>
  <c r="AB114" i="55"/>
  <c r="AD114" i="55"/>
  <c r="AE114" i="55"/>
  <c r="AF114" i="55"/>
  <c r="AG114" i="55"/>
  <c r="AH114" i="55"/>
  <c r="AI114" i="55"/>
  <c r="AJ114" i="55"/>
  <c r="AK114" i="55"/>
  <c r="AL114" i="55"/>
  <c r="AP114" i="55"/>
  <c r="H115" i="55"/>
  <c r="AC115" i="55" s="1"/>
  <c r="K115" i="55"/>
  <c r="T115" i="55" s="1"/>
  <c r="AM115" i="55" s="1"/>
  <c r="X115" i="55"/>
  <c r="Y115" i="55"/>
  <c r="Z115" i="55"/>
  <c r="AA115" i="55"/>
  <c r="AB115" i="55"/>
  <c r="AD115" i="55"/>
  <c r="AE115" i="55"/>
  <c r="AF115" i="55"/>
  <c r="AG115" i="55"/>
  <c r="AH115" i="55"/>
  <c r="AI115" i="55"/>
  <c r="AJ115" i="55"/>
  <c r="AK115" i="55"/>
  <c r="AL115" i="55"/>
  <c r="AP115" i="55"/>
  <c r="H116" i="55"/>
  <c r="I116" i="55"/>
  <c r="K116" i="55" s="1"/>
  <c r="T116" i="55" s="1"/>
  <c r="AM116" i="55" s="1"/>
  <c r="X116" i="55"/>
  <c r="Y116" i="55"/>
  <c r="Z116" i="55"/>
  <c r="AA116" i="55"/>
  <c r="AB116" i="55"/>
  <c r="AE116" i="55"/>
  <c r="AF116" i="55"/>
  <c r="AG116" i="55"/>
  <c r="AH116" i="55"/>
  <c r="AI116" i="55"/>
  <c r="AJ116" i="55"/>
  <c r="AK116" i="55"/>
  <c r="AL116" i="55"/>
  <c r="AP116" i="55"/>
  <c r="H117" i="55"/>
  <c r="AC117" i="55" s="1"/>
  <c r="I117" i="55"/>
  <c r="AD117" i="55" s="1"/>
  <c r="X117" i="55"/>
  <c r="Y117" i="55"/>
  <c r="Z117" i="55"/>
  <c r="AA117" i="55"/>
  <c r="AB117" i="55"/>
  <c r="AE117" i="55"/>
  <c r="AF117" i="55"/>
  <c r="AG117" i="55"/>
  <c r="AH117" i="55"/>
  <c r="AI117" i="55"/>
  <c r="AJ117" i="55"/>
  <c r="AK117" i="55"/>
  <c r="AL117" i="55"/>
  <c r="AP117" i="55"/>
  <c r="H118" i="55"/>
  <c r="AC118" i="55" s="1"/>
  <c r="I118" i="55"/>
  <c r="K118" i="55" s="1"/>
  <c r="X118" i="55"/>
  <c r="Y118" i="55"/>
  <c r="Z118" i="55"/>
  <c r="AA118" i="55"/>
  <c r="AB118" i="55"/>
  <c r="AE118" i="55"/>
  <c r="AF118" i="55"/>
  <c r="AG118" i="55"/>
  <c r="AH118" i="55"/>
  <c r="AI118" i="55"/>
  <c r="AJ118" i="55"/>
  <c r="AK118" i="55"/>
  <c r="AL118" i="55"/>
  <c r="AP118" i="55"/>
  <c r="H119" i="55"/>
  <c r="AC119" i="55" s="1"/>
  <c r="K119" i="55"/>
  <c r="T119" i="55" s="1"/>
  <c r="AM119" i="55" s="1"/>
  <c r="X119" i="55"/>
  <c r="Y119" i="55"/>
  <c r="Z119" i="55"/>
  <c r="AA119" i="55"/>
  <c r="AB119" i="55"/>
  <c r="AD119" i="55"/>
  <c r="AE119" i="55"/>
  <c r="AF119" i="55"/>
  <c r="AG119" i="55"/>
  <c r="AH119" i="55"/>
  <c r="AI119" i="55"/>
  <c r="AJ119" i="55"/>
  <c r="AK119" i="55"/>
  <c r="AL119" i="55"/>
  <c r="AP119" i="55"/>
  <c r="H120" i="55"/>
  <c r="AC120" i="55" s="1"/>
  <c r="K120" i="55"/>
  <c r="T120" i="55" s="1"/>
  <c r="AM120" i="55" s="1"/>
  <c r="X120" i="55"/>
  <c r="Y120" i="55"/>
  <c r="Z120" i="55"/>
  <c r="AA120" i="55"/>
  <c r="AB120" i="55"/>
  <c r="AD120" i="55"/>
  <c r="AE120" i="55"/>
  <c r="AF120" i="55"/>
  <c r="AG120" i="55"/>
  <c r="AH120" i="55"/>
  <c r="AI120" i="55"/>
  <c r="AJ120" i="55"/>
  <c r="AK120" i="55"/>
  <c r="AL120" i="55"/>
  <c r="AP120" i="55"/>
  <c r="H121" i="55"/>
  <c r="AC121" i="55" s="1"/>
  <c r="K121" i="55"/>
  <c r="T121" i="55" s="1"/>
  <c r="AM121" i="55" s="1"/>
  <c r="X121" i="55"/>
  <c r="Y121" i="55"/>
  <c r="Z121" i="55"/>
  <c r="AA121" i="55"/>
  <c r="AB121" i="55"/>
  <c r="AD121" i="55"/>
  <c r="AE121" i="55"/>
  <c r="AF121" i="55"/>
  <c r="AG121" i="55"/>
  <c r="AH121" i="55"/>
  <c r="AI121" i="55"/>
  <c r="AJ121" i="55"/>
  <c r="AK121" i="55"/>
  <c r="AL121" i="55"/>
  <c r="AP121" i="55"/>
  <c r="H122" i="55"/>
  <c r="AC122" i="55" s="1"/>
  <c r="K122" i="55"/>
  <c r="T122" i="55" s="1"/>
  <c r="AM122" i="55" s="1"/>
  <c r="X122" i="55"/>
  <c r="Y122" i="55"/>
  <c r="Z122" i="55"/>
  <c r="AA122" i="55"/>
  <c r="AB122" i="55"/>
  <c r="AD122" i="55"/>
  <c r="AE122" i="55"/>
  <c r="AF122" i="55"/>
  <c r="AG122" i="55"/>
  <c r="AH122" i="55"/>
  <c r="AI122" i="55"/>
  <c r="AJ122" i="55"/>
  <c r="AK122" i="55"/>
  <c r="AL122" i="55"/>
  <c r="AP122" i="55"/>
  <c r="H123" i="55"/>
  <c r="AC123" i="55" s="1"/>
  <c r="K123" i="55"/>
  <c r="T123" i="55" s="1"/>
  <c r="AM123" i="55" s="1"/>
  <c r="X123" i="55"/>
  <c r="Y123" i="55"/>
  <c r="Z123" i="55"/>
  <c r="AA123" i="55"/>
  <c r="AB123" i="55"/>
  <c r="AD123" i="55"/>
  <c r="AE123" i="55"/>
  <c r="AF123" i="55"/>
  <c r="AG123" i="55"/>
  <c r="AH123" i="55"/>
  <c r="AI123" i="55"/>
  <c r="AJ123" i="55"/>
  <c r="AK123" i="55"/>
  <c r="AL123" i="55"/>
  <c r="AP123" i="55"/>
  <c r="B124" i="55"/>
  <c r="C124" i="55"/>
  <c r="D124" i="55"/>
  <c r="E124" i="55"/>
  <c r="F124" i="55"/>
  <c r="G124" i="55"/>
  <c r="J124" i="55"/>
  <c r="L124" i="55"/>
  <c r="M124" i="55"/>
  <c r="N124" i="55"/>
  <c r="O124" i="55"/>
  <c r="P124" i="55"/>
  <c r="Q124" i="55"/>
  <c r="R124" i="55"/>
  <c r="S124" i="55"/>
  <c r="H126" i="55"/>
  <c r="AC126" i="55" s="1"/>
  <c r="K126" i="55"/>
  <c r="T126" i="55" s="1"/>
  <c r="AM126" i="55" s="1"/>
  <c r="X126" i="55"/>
  <c r="Y126" i="55"/>
  <c r="Z126" i="55"/>
  <c r="AA126" i="55"/>
  <c r="AB126" i="55"/>
  <c r="AD126" i="55"/>
  <c r="AE126" i="55"/>
  <c r="AF126" i="55"/>
  <c r="AG126" i="55"/>
  <c r="AH126" i="55"/>
  <c r="AI126" i="55"/>
  <c r="AJ126" i="55"/>
  <c r="AK126" i="55"/>
  <c r="AL126" i="55"/>
  <c r="AP126" i="55"/>
  <c r="H127" i="55"/>
  <c r="AC127" i="55" s="1"/>
  <c r="K127" i="55"/>
  <c r="T127" i="55" s="1"/>
  <c r="AM127" i="55" s="1"/>
  <c r="X127" i="55"/>
  <c r="Y127" i="55"/>
  <c r="Z127" i="55"/>
  <c r="AA127" i="55"/>
  <c r="AB127" i="55"/>
  <c r="AD127" i="55"/>
  <c r="AE127" i="55"/>
  <c r="AF127" i="55"/>
  <c r="AG127" i="55"/>
  <c r="AH127" i="55"/>
  <c r="AI127" i="55"/>
  <c r="AJ127" i="55"/>
  <c r="AK127" i="55"/>
  <c r="AL127" i="55"/>
  <c r="AP127" i="55"/>
  <c r="H128" i="55"/>
  <c r="AC128" i="55" s="1"/>
  <c r="K128" i="55"/>
  <c r="T128" i="55" s="1"/>
  <c r="X128" i="55"/>
  <c r="Y128" i="55"/>
  <c r="Z128" i="55"/>
  <c r="AA128" i="55"/>
  <c r="AB128" i="55"/>
  <c r="AD128" i="55"/>
  <c r="AE128" i="55"/>
  <c r="AF128" i="55"/>
  <c r="AG128" i="55"/>
  <c r="AH128" i="55"/>
  <c r="AI128" i="55"/>
  <c r="AJ128" i="55"/>
  <c r="AK128" i="55"/>
  <c r="AL128" i="55"/>
  <c r="AP128" i="55"/>
  <c r="H129" i="55"/>
  <c r="K129" i="55"/>
  <c r="T129" i="55" s="1"/>
  <c r="AM129" i="55" s="1"/>
  <c r="X129" i="55"/>
  <c r="Y129" i="55"/>
  <c r="Z129" i="55"/>
  <c r="AA129" i="55"/>
  <c r="AB129" i="55"/>
  <c r="AD129" i="55"/>
  <c r="AE129" i="55"/>
  <c r="AF129" i="55"/>
  <c r="AG129" i="55"/>
  <c r="AH129" i="55"/>
  <c r="AI129" i="55"/>
  <c r="AJ129" i="55"/>
  <c r="AK129" i="55"/>
  <c r="AL129" i="55"/>
  <c r="AP129" i="55"/>
  <c r="H130" i="55"/>
  <c r="AC130" i="55" s="1"/>
  <c r="K130" i="55"/>
  <c r="T130" i="55" s="1"/>
  <c r="AM130" i="55" s="1"/>
  <c r="X130" i="55"/>
  <c r="Y130" i="55"/>
  <c r="Z130" i="55"/>
  <c r="AA130" i="55"/>
  <c r="AB130" i="55"/>
  <c r="AD130" i="55"/>
  <c r="AE130" i="55"/>
  <c r="AF130" i="55"/>
  <c r="AG130" i="55"/>
  <c r="AH130" i="55"/>
  <c r="AI130" i="55"/>
  <c r="AJ130" i="55"/>
  <c r="AK130" i="55"/>
  <c r="AL130" i="55"/>
  <c r="AP130" i="55"/>
  <c r="H131" i="55"/>
  <c r="AC131" i="55" s="1"/>
  <c r="K131" i="55"/>
  <c r="T131" i="55" s="1"/>
  <c r="AM131" i="55" s="1"/>
  <c r="X131" i="55"/>
  <c r="Y131" i="55"/>
  <c r="Z131" i="55"/>
  <c r="AA131" i="55"/>
  <c r="AB131" i="55"/>
  <c r="AD131" i="55"/>
  <c r="AE131" i="55"/>
  <c r="AF131" i="55"/>
  <c r="AG131" i="55"/>
  <c r="AH131" i="55"/>
  <c r="AI131" i="55"/>
  <c r="AJ131" i="55"/>
  <c r="AK131" i="55"/>
  <c r="AL131" i="55"/>
  <c r="AP131" i="55"/>
  <c r="H132" i="55"/>
  <c r="AC132" i="55" s="1"/>
  <c r="K132" i="55"/>
  <c r="T132" i="55" s="1"/>
  <c r="AM132" i="55" s="1"/>
  <c r="X132" i="55"/>
  <c r="Y132" i="55"/>
  <c r="Z132" i="55"/>
  <c r="AA132" i="55"/>
  <c r="AB132" i="55"/>
  <c r="AD132" i="55"/>
  <c r="AE132" i="55"/>
  <c r="AF132" i="55"/>
  <c r="AG132" i="55"/>
  <c r="AH132" i="55"/>
  <c r="AI132" i="55"/>
  <c r="AJ132" i="55"/>
  <c r="AK132" i="55"/>
  <c r="AL132" i="55"/>
  <c r="AP132" i="55"/>
  <c r="H133" i="55"/>
  <c r="AC133" i="55" s="1"/>
  <c r="K133" i="55"/>
  <c r="T133" i="55" s="1"/>
  <c r="AM133" i="55" s="1"/>
  <c r="X133" i="55"/>
  <c r="Y133" i="55"/>
  <c r="Z133" i="55"/>
  <c r="AA133" i="55"/>
  <c r="AB133" i="55"/>
  <c r="AD133" i="55"/>
  <c r="AE133" i="55"/>
  <c r="AF133" i="55"/>
  <c r="AG133" i="55"/>
  <c r="AH133" i="55"/>
  <c r="AI133" i="55"/>
  <c r="AJ133" i="55"/>
  <c r="AK133" i="55"/>
  <c r="AL133" i="55"/>
  <c r="AP133" i="55"/>
  <c r="H134" i="55"/>
  <c r="AC134" i="55" s="1"/>
  <c r="K134" i="55"/>
  <c r="T134" i="55" s="1"/>
  <c r="AM134" i="55" s="1"/>
  <c r="X134" i="55"/>
  <c r="Y134" i="55"/>
  <c r="Z134" i="55"/>
  <c r="AA134" i="55"/>
  <c r="AB134" i="55"/>
  <c r="AD134" i="55"/>
  <c r="AE134" i="55"/>
  <c r="AF134" i="55"/>
  <c r="AG134" i="55"/>
  <c r="AH134" i="55"/>
  <c r="AI134" i="55"/>
  <c r="AJ134" i="55"/>
  <c r="AK134" i="55"/>
  <c r="AL134" i="55"/>
  <c r="AP134" i="55"/>
  <c r="H135" i="55"/>
  <c r="AC135" i="55" s="1"/>
  <c r="K135" i="55"/>
  <c r="X135" i="55"/>
  <c r="Y135" i="55"/>
  <c r="Z135" i="55"/>
  <c r="AA135" i="55"/>
  <c r="AB135" i="55"/>
  <c r="AD135" i="55"/>
  <c r="AE135" i="55"/>
  <c r="AF135" i="55"/>
  <c r="AG135" i="55"/>
  <c r="AH135" i="55"/>
  <c r="AI135" i="55"/>
  <c r="AJ135" i="55"/>
  <c r="AK135" i="55"/>
  <c r="AL135" i="55"/>
  <c r="AP135" i="55"/>
  <c r="H136" i="55"/>
  <c r="AC136" i="55" s="1"/>
  <c r="K136" i="55"/>
  <c r="T136" i="55" s="1"/>
  <c r="AM136" i="55" s="1"/>
  <c r="X136" i="55"/>
  <c r="Y136" i="55"/>
  <c r="Z136" i="55"/>
  <c r="AA136" i="55"/>
  <c r="AB136" i="55"/>
  <c r="AD136" i="55"/>
  <c r="AE136" i="55"/>
  <c r="AF136" i="55"/>
  <c r="AG136" i="55"/>
  <c r="AH136" i="55"/>
  <c r="AI136" i="55"/>
  <c r="AJ136" i="55"/>
  <c r="AK136" i="55"/>
  <c r="AL136" i="55"/>
  <c r="AP136" i="55"/>
  <c r="H137" i="55"/>
  <c r="AC137" i="55" s="1"/>
  <c r="K137" i="55"/>
  <c r="T137" i="55" s="1"/>
  <c r="AM137" i="55" s="1"/>
  <c r="X137" i="55"/>
  <c r="Y137" i="55"/>
  <c r="Z137" i="55"/>
  <c r="AA137" i="55"/>
  <c r="AB137" i="55"/>
  <c r="AD137" i="55"/>
  <c r="AE137" i="55"/>
  <c r="AF137" i="55"/>
  <c r="AG137" i="55"/>
  <c r="AH137" i="55"/>
  <c r="AI137" i="55"/>
  <c r="AJ137" i="55"/>
  <c r="AK137" i="55"/>
  <c r="AL137" i="55"/>
  <c r="AP137" i="55"/>
  <c r="B138" i="55"/>
  <c r="C138" i="55"/>
  <c r="D138" i="55"/>
  <c r="E138" i="55"/>
  <c r="F138" i="55"/>
  <c r="G138" i="55"/>
  <c r="I138" i="55"/>
  <c r="J138" i="55"/>
  <c r="L138" i="55"/>
  <c r="M138" i="55"/>
  <c r="N138" i="55"/>
  <c r="O138" i="55"/>
  <c r="P138" i="55"/>
  <c r="Q138" i="55"/>
  <c r="R138" i="55"/>
  <c r="S138" i="55"/>
  <c r="H140" i="55"/>
  <c r="I140" i="55"/>
  <c r="X140" i="55"/>
  <c r="Y140" i="55"/>
  <c r="Z140" i="55"/>
  <c r="AA140" i="55"/>
  <c r="AB140" i="55"/>
  <c r="AE140" i="55"/>
  <c r="AF140" i="55"/>
  <c r="AG140" i="55"/>
  <c r="AH140" i="55"/>
  <c r="AI140" i="55"/>
  <c r="AJ140" i="55"/>
  <c r="AK140" i="55"/>
  <c r="AL140" i="55"/>
  <c r="AP140" i="55"/>
  <c r="H141" i="55"/>
  <c r="AC141" i="55" s="1"/>
  <c r="K141" i="55"/>
  <c r="T141" i="55" s="1"/>
  <c r="AM141" i="55" s="1"/>
  <c r="X141" i="55"/>
  <c r="Y141" i="55"/>
  <c r="Z141" i="55"/>
  <c r="AA141" i="55"/>
  <c r="AB141" i="55"/>
  <c r="AD141" i="55"/>
  <c r="AE141" i="55"/>
  <c r="AF141" i="55"/>
  <c r="AG141" i="55"/>
  <c r="AH141" i="55"/>
  <c r="AI141" i="55"/>
  <c r="AJ141" i="55"/>
  <c r="AK141" i="55"/>
  <c r="AL141" i="55"/>
  <c r="AP141" i="55"/>
  <c r="H142" i="55"/>
  <c r="AC142" i="55" s="1"/>
  <c r="K142" i="55"/>
  <c r="T142" i="55" s="1"/>
  <c r="AM142" i="55" s="1"/>
  <c r="X142" i="55"/>
  <c r="Y142" i="55"/>
  <c r="Z142" i="55"/>
  <c r="AA142" i="55"/>
  <c r="AB142" i="55"/>
  <c r="AD142" i="55"/>
  <c r="AE142" i="55"/>
  <c r="AF142" i="55"/>
  <c r="AG142" i="55"/>
  <c r="AH142" i="55"/>
  <c r="AI142" i="55"/>
  <c r="AJ142" i="55"/>
  <c r="AK142" i="55"/>
  <c r="AL142" i="55"/>
  <c r="AP142" i="55"/>
  <c r="H143" i="55"/>
  <c r="AC143" i="55" s="1"/>
  <c r="K143" i="55"/>
  <c r="T143" i="55" s="1"/>
  <c r="AM143" i="55" s="1"/>
  <c r="X143" i="55"/>
  <c r="Y143" i="55"/>
  <c r="Z143" i="55"/>
  <c r="AA143" i="55"/>
  <c r="AB143" i="55"/>
  <c r="AD143" i="55"/>
  <c r="AE143" i="55"/>
  <c r="AF143" i="55"/>
  <c r="AG143" i="55"/>
  <c r="AH143" i="55"/>
  <c r="AI143" i="55"/>
  <c r="AJ143" i="55"/>
  <c r="AK143" i="55"/>
  <c r="AL143" i="55"/>
  <c r="AP143" i="55"/>
  <c r="H144" i="55"/>
  <c r="AC144" i="55" s="1"/>
  <c r="K144" i="55"/>
  <c r="T144" i="55" s="1"/>
  <c r="AM144" i="55" s="1"/>
  <c r="X144" i="55"/>
  <c r="Y144" i="55"/>
  <c r="Z144" i="55"/>
  <c r="AA144" i="55"/>
  <c r="AB144" i="55"/>
  <c r="AD144" i="55"/>
  <c r="AE144" i="55"/>
  <c r="AF144" i="55"/>
  <c r="AG144" i="55"/>
  <c r="AH144" i="55"/>
  <c r="AI144" i="55"/>
  <c r="AJ144" i="55"/>
  <c r="AK144" i="55"/>
  <c r="AL144" i="55"/>
  <c r="AP144" i="55"/>
  <c r="H145" i="55"/>
  <c r="AC145" i="55" s="1"/>
  <c r="K145" i="55"/>
  <c r="T145" i="55" s="1"/>
  <c r="AM145" i="55" s="1"/>
  <c r="X145" i="55"/>
  <c r="Y145" i="55"/>
  <c r="Z145" i="55"/>
  <c r="AA145" i="55"/>
  <c r="AB145" i="55"/>
  <c r="AD145" i="55"/>
  <c r="AE145" i="55"/>
  <c r="AF145" i="55"/>
  <c r="AG145" i="55"/>
  <c r="AH145" i="55"/>
  <c r="AI145" i="55"/>
  <c r="AJ145" i="55"/>
  <c r="AK145" i="55"/>
  <c r="AL145" i="55"/>
  <c r="AP145" i="55"/>
  <c r="H146" i="55"/>
  <c r="AC146" i="55" s="1"/>
  <c r="I146" i="55"/>
  <c r="X146" i="55"/>
  <c r="Y146" i="55"/>
  <c r="Z146" i="55"/>
  <c r="AA146" i="55"/>
  <c r="AB146" i="55"/>
  <c r="AE146" i="55"/>
  <c r="AF146" i="55"/>
  <c r="AG146" i="55"/>
  <c r="AH146" i="55"/>
  <c r="AI146" i="55"/>
  <c r="AJ146" i="55"/>
  <c r="AK146" i="55"/>
  <c r="AL146" i="55"/>
  <c r="AP146" i="55"/>
  <c r="H147" i="55"/>
  <c r="AC147" i="55" s="1"/>
  <c r="I147" i="55"/>
  <c r="AD147" i="55" s="1"/>
  <c r="X147" i="55"/>
  <c r="Y147" i="55"/>
  <c r="Z147" i="55"/>
  <c r="AA147" i="55"/>
  <c r="AB147" i="55"/>
  <c r="AE147" i="55"/>
  <c r="AF147" i="55"/>
  <c r="AG147" i="55"/>
  <c r="AH147" i="55"/>
  <c r="AI147" i="55"/>
  <c r="AJ147" i="55"/>
  <c r="AK147" i="55"/>
  <c r="AL147" i="55"/>
  <c r="AP147" i="55"/>
  <c r="H148" i="55"/>
  <c r="I148" i="55"/>
  <c r="K148" i="55" s="1"/>
  <c r="T148" i="55" s="1"/>
  <c r="AM148" i="55" s="1"/>
  <c r="X148" i="55"/>
  <c r="Y148" i="55"/>
  <c r="Z148" i="55"/>
  <c r="AA148" i="55"/>
  <c r="AB148" i="55"/>
  <c r="AE148" i="55"/>
  <c r="AF148" i="55"/>
  <c r="AG148" i="55"/>
  <c r="AH148" i="55"/>
  <c r="AI148" i="55"/>
  <c r="AJ148" i="55"/>
  <c r="AK148" i="55"/>
  <c r="AL148" i="55"/>
  <c r="AP148" i="55"/>
  <c r="H149" i="55"/>
  <c r="AC149" i="55" s="1"/>
  <c r="I149" i="55"/>
  <c r="K149" i="55" s="1"/>
  <c r="X149" i="55"/>
  <c r="Y149" i="55"/>
  <c r="Z149" i="55"/>
  <c r="AA149" i="55"/>
  <c r="AB149" i="55"/>
  <c r="AE149" i="55"/>
  <c r="AF149" i="55"/>
  <c r="AG149" i="55"/>
  <c r="AH149" i="55"/>
  <c r="AI149" i="55"/>
  <c r="AJ149" i="55"/>
  <c r="AK149" i="55"/>
  <c r="AL149" i="55"/>
  <c r="AP149" i="55"/>
  <c r="H150" i="55"/>
  <c r="AC150" i="55" s="1"/>
  <c r="K150" i="55"/>
  <c r="T150" i="55" s="1"/>
  <c r="AM150" i="55" s="1"/>
  <c r="X150" i="55"/>
  <c r="Y150" i="55"/>
  <c r="Z150" i="55"/>
  <c r="AA150" i="55"/>
  <c r="AB150" i="55"/>
  <c r="AD150" i="55"/>
  <c r="AE150" i="55"/>
  <c r="AF150" i="55"/>
  <c r="AG150" i="55"/>
  <c r="AH150" i="55"/>
  <c r="AI150" i="55"/>
  <c r="AJ150" i="55"/>
  <c r="AK150" i="55"/>
  <c r="AL150" i="55"/>
  <c r="AP150" i="55"/>
  <c r="H151" i="55"/>
  <c r="AC151" i="55" s="1"/>
  <c r="K151" i="55"/>
  <c r="T151" i="55" s="1"/>
  <c r="AM151" i="55" s="1"/>
  <c r="X151" i="55"/>
  <c r="Y151" i="55"/>
  <c r="Z151" i="55"/>
  <c r="AA151" i="55"/>
  <c r="AB151" i="55"/>
  <c r="AD151" i="55"/>
  <c r="AE151" i="55"/>
  <c r="AF151" i="55"/>
  <c r="AG151" i="55"/>
  <c r="AH151" i="55"/>
  <c r="AI151" i="55"/>
  <c r="AJ151" i="55"/>
  <c r="AK151" i="55"/>
  <c r="AL151" i="55"/>
  <c r="AP151" i="55"/>
  <c r="H152" i="55"/>
  <c r="AC152" i="55" s="1"/>
  <c r="K152" i="55"/>
  <c r="T152" i="55" s="1"/>
  <c r="AM152" i="55" s="1"/>
  <c r="X152" i="55"/>
  <c r="Y152" i="55"/>
  <c r="Z152" i="55"/>
  <c r="AA152" i="55"/>
  <c r="AB152" i="55"/>
  <c r="AD152" i="55"/>
  <c r="AE152" i="55"/>
  <c r="AF152" i="55"/>
  <c r="AG152" i="55"/>
  <c r="AH152" i="55"/>
  <c r="AI152" i="55"/>
  <c r="AJ152" i="55"/>
  <c r="AK152" i="55"/>
  <c r="AL152" i="55"/>
  <c r="AP152" i="55"/>
  <c r="H153" i="55"/>
  <c r="AC153" i="55" s="1"/>
  <c r="K153" i="55"/>
  <c r="T153" i="55" s="1"/>
  <c r="AM153" i="55" s="1"/>
  <c r="X153" i="55"/>
  <c r="Y153" i="55"/>
  <c r="Z153" i="55"/>
  <c r="AA153" i="55"/>
  <c r="AB153" i="55"/>
  <c r="AD153" i="55"/>
  <c r="AE153" i="55"/>
  <c r="AF153" i="55"/>
  <c r="AG153" i="55"/>
  <c r="AH153" i="55"/>
  <c r="AI153" i="55"/>
  <c r="AJ153" i="55"/>
  <c r="AK153" i="55"/>
  <c r="AL153" i="55"/>
  <c r="AP153" i="55"/>
  <c r="H154" i="55"/>
  <c r="K154" i="55"/>
  <c r="T154" i="55" s="1"/>
  <c r="AM154" i="55"/>
  <c r="X154" i="55"/>
  <c r="Y154" i="55"/>
  <c r="Z154" i="55"/>
  <c r="AA154" i="55"/>
  <c r="AB154" i="55"/>
  <c r="AC154" i="55"/>
  <c r="AD154" i="55"/>
  <c r="AE154" i="55"/>
  <c r="AF154" i="55"/>
  <c r="AG154" i="55"/>
  <c r="AH154" i="55"/>
  <c r="AI154" i="55"/>
  <c r="AJ154" i="55"/>
  <c r="AK154" i="55"/>
  <c r="AL154" i="55"/>
  <c r="AP154" i="55"/>
  <c r="H155" i="55"/>
  <c r="AC155" i="55" s="1"/>
  <c r="K155" i="55"/>
  <c r="T155" i="55" s="1"/>
  <c r="AM155" i="55" s="1"/>
  <c r="X155" i="55"/>
  <c r="Y155" i="55"/>
  <c r="Z155" i="55"/>
  <c r="AA155" i="55"/>
  <c r="AB155" i="55"/>
  <c r="AD155" i="55"/>
  <c r="AE155" i="55"/>
  <c r="AF155" i="55"/>
  <c r="AG155" i="55"/>
  <c r="AH155" i="55"/>
  <c r="AI155" i="55"/>
  <c r="AJ155" i="55"/>
  <c r="AK155" i="55"/>
  <c r="AL155" i="55"/>
  <c r="AP155" i="55"/>
  <c r="H156" i="55"/>
  <c r="K156" i="55"/>
  <c r="T156" i="55" s="1"/>
  <c r="AM156" i="55" s="1"/>
  <c r="X156" i="55"/>
  <c r="Y156" i="55"/>
  <c r="Z156" i="55"/>
  <c r="AA156" i="55"/>
  <c r="AB156" i="55"/>
  <c r="AC156" i="55"/>
  <c r="AD156" i="55"/>
  <c r="AE156" i="55"/>
  <c r="AF156" i="55"/>
  <c r="AG156" i="55"/>
  <c r="AH156" i="55"/>
  <c r="AI156" i="55"/>
  <c r="AJ156" i="55"/>
  <c r="AK156" i="55"/>
  <c r="AL156" i="55"/>
  <c r="AP156" i="55"/>
  <c r="B157" i="55"/>
  <c r="C157" i="55"/>
  <c r="D157" i="55"/>
  <c r="E157" i="55"/>
  <c r="F157" i="55"/>
  <c r="G157" i="55"/>
  <c r="J157" i="55"/>
  <c r="L157" i="55"/>
  <c r="M157" i="55"/>
  <c r="N157" i="55"/>
  <c r="O157" i="55"/>
  <c r="P157" i="55"/>
  <c r="Q157" i="55"/>
  <c r="R157" i="55"/>
  <c r="S157" i="55"/>
  <c r="H159" i="55"/>
  <c r="I159" i="55"/>
  <c r="X159" i="55"/>
  <c r="Y159" i="55"/>
  <c r="Z159" i="55"/>
  <c r="AA159" i="55"/>
  <c r="AB159" i="55"/>
  <c r="AE159" i="55"/>
  <c r="AF159" i="55"/>
  <c r="AG159" i="55"/>
  <c r="AH159" i="55"/>
  <c r="AI159" i="55"/>
  <c r="AJ159" i="55"/>
  <c r="AK159" i="55"/>
  <c r="AL159" i="55"/>
  <c r="AP159" i="55"/>
  <c r="H160" i="55"/>
  <c r="AC160" i="55" s="1"/>
  <c r="K160" i="55"/>
  <c r="T160" i="55" s="1"/>
  <c r="AM160" i="55" s="1"/>
  <c r="X160" i="55"/>
  <c r="Y160" i="55"/>
  <c r="Z160" i="55"/>
  <c r="AA160" i="55"/>
  <c r="AB160" i="55"/>
  <c r="AD160" i="55"/>
  <c r="AE160" i="55"/>
  <c r="AF160" i="55"/>
  <c r="AG160" i="55"/>
  <c r="AH160" i="55"/>
  <c r="AI160" i="55"/>
  <c r="AJ160" i="55"/>
  <c r="AK160" i="55"/>
  <c r="AL160" i="55"/>
  <c r="AP160" i="55"/>
  <c r="H161" i="55"/>
  <c r="AC161" i="55" s="1"/>
  <c r="K161" i="55"/>
  <c r="T161" i="55" s="1"/>
  <c r="AM161" i="55" s="1"/>
  <c r="X161" i="55"/>
  <c r="Y161" i="55"/>
  <c r="Z161" i="55"/>
  <c r="AA161" i="55"/>
  <c r="AB161" i="55"/>
  <c r="AD161" i="55"/>
  <c r="AE161" i="55"/>
  <c r="AF161" i="55"/>
  <c r="AG161" i="55"/>
  <c r="AH161" i="55"/>
  <c r="AI161" i="55"/>
  <c r="AJ161" i="55"/>
  <c r="AK161" i="55"/>
  <c r="AL161" i="55"/>
  <c r="AP161" i="55"/>
  <c r="H162" i="55"/>
  <c r="AC162" i="55" s="1"/>
  <c r="K162" i="55"/>
  <c r="T162" i="55" s="1"/>
  <c r="AM162" i="55" s="1"/>
  <c r="X162" i="55"/>
  <c r="Y162" i="55"/>
  <c r="Z162" i="55"/>
  <c r="AA162" i="55"/>
  <c r="AB162" i="55"/>
  <c r="AD162" i="55"/>
  <c r="AE162" i="55"/>
  <c r="AF162" i="55"/>
  <c r="AG162" i="55"/>
  <c r="AH162" i="55"/>
  <c r="AI162" i="55"/>
  <c r="AJ162" i="55"/>
  <c r="AK162" i="55"/>
  <c r="AL162" i="55"/>
  <c r="AP162" i="55"/>
  <c r="H163" i="55"/>
  <c r="K163" i="55"/>
  <c r="T163" i="55" s="1"/>
  <c r="AM163" i="55" s="1"/>
  <c r="X163" i="55"/>
  <c r="Y163" i="55"/>
  <c r="Z163" i="55"/>
  <c r="AA163" i="55"/>
  <c r="AB163" i="55"/>
  <c r="AD163" i="55"/>
  <c r="AE163" i="55"/>
  <c r="AF163" i="55"/>
  <c r="AG163" i="55"/>
  <c r="AH163" i="55"/>
  <c r="AI163" i="55"/>
  <c r="AJ163" i="55"/>
  <c r="AK163" i="55"/>
  <c r="AL163" i="55"/>
  <c r="AP163" i="55"/>
  <c r="H164" i="55"/>
  <c r="AC164" i="55" s="1"/>
  <c r="K164" i="55"/>
  <c r="T164" i="55" s="1"/>
  <c r="AM164" i="55" s="1"/>
  <c r="X164" i="55"/>
  <c r="Y164" i="55"/>
  <c r="Z164" i="55"/>
  <c r="AA164" i="55"/>
  <c r="AB164" i="55"/>
  <c r="AD164" i="55"/>
  <c r="AE164" i="55"/>
  <c r="AF164" i="55"/>
  <c r="AG164" i="55"/>
  <c r="AH164" i="55"/>
  <c r="AI164" i="55"/>
  <c r="AJ164" i="55"/>
  <c r="AK164" i="55"/>
  <c r="AL164" i="55"/>
  <c r="AP164" i="55"/>
  <c r="H165" i="55"/>
  <c r="AC165" i="55" s="1"/>
  <c r="I165" i="55"/>
  <c r="K165" i="55" s="1"/>
  <c r="T165" i="55" s="1"/>
  <c r="AM165" i="55" s="1"/>
  <c r="X165" i="55"/>
  <c r="Y165" i="55"/>
  <c r="Z165" i="55"/>
  <c r="AA165" i="55"/>
  <c r="AB165" i="55"/>
  <c r="AE165" i="55"/>
  <c r="AF165" i="55"/>
  <c r="AG165" i="55"/>
  <c r="AH165" i="55"/>
  <c r="AI165" i="55"/>
  <c r="AJ165" i="55"/>
  <c r="AK165" i="55"/>
  <c r="AL165" i="55"/>
  <c r="AP165" i="55"/>
  <c r="H166" i="55"/>
  <c r="AC166" i="55" s="1"/>
  <c r="K166" i="55"/>
  <c r="T166" i="55" s="1"/>
  <c r="AM166" i="55" s="1"/>
  <c r="X166" i="55"/>
  <c r="Y166" i="55"/>
  <c r="Z166" i="55"/>
  <c r="AA166" i="55"/>
  <c r="AB166" i="55"/>
  <c r="AD166" i="55"/>
  <c r="AE166" i="55"/>
  <c r="AF166" i="55"/>
  <c r="AG166" i="55"/>
  <c r="AH166" i="55"/>
  <c r="AI166" i="55"/>
  <c r="AJ166" i="55"/>
  <c r="AK166" i="55"/>
  <c r="AL166" i="55"/>
  <c r="AP166" i="55"/>
  <c r="H167" i="55"/>
  <c r="AC167" i="55" s="1"/>
  <c r="K167" i="55"/>
  <c r="N167" i="55"/>
  <c r="T167" i="55" s="1"/>
  <c r="AM167" i="55" s="1"/>
  <c r="X167" i="55"/>
  <c r="Y167" i="55"/>
  <c r="Z167" i="55"/>
  <c r="AA167" i="55"/>
  <c r="AB167" i="55"/>
  <c r="AD167" i="55"/>
  <c r="AE167" i="55"/>
  <c r="AF167" i="55"/>
  <c r="AH167" i="55"/>
  <c r="AI167" i="55"/>
  <c r="AJ167" i="55"/>
  <c r="AK167" i="55"/>
  <c r="AL167" i="55"/>
  <c r="AP167" i="55"/>
  <c r="H168" i="55"/>
  <c r="AC168" i="55" s="1"/>
  <c r="K168" i="55"/>
  <c r="T168" i="55" s="1"/>
  <c r="AM168" i="55" s="1"/>
  <c r="X168" i="55"/>
  <c r="Y168" i="55"/>
  <c r="Z168" i="55"/>
  <c r="AA168" i="55"/>
  <c r="AB168" i="55"/>
  <c r="AD168" i="55"/>
  <c r="AE168" i="55"/>
  <c r="AF168" i="55"/>
  <c r="AG168" i="55"/>
  <c r="AH168" i="55"/>
  <c r="AI168" i="55"/>
  <c r="AJ168" i="55"/>
  <c r="AK168" i="55"/>
  <c r="AL168" i="55"/>
  <c r="AP168" i="55"/>
  <c r="H169" i="55"/>
  <c r="AC169" i="55" s="1"/>
  <c r="K169" i="55"/>
  <c r="T169" i="55" s="1"/>
  <c r="AM169" i="55" s="1"/>
  <c r="X169" i="55"/>
  <c r="Y169" i="55"/>
  <c r="Z169" i="55"/>
  <c r="AA169" i="55"/>
  <c r="AB169" i="55"/>
  <c r="AD169" i="55"/>
  <c r="AE169" i="55"/>
  <c r="AF169" i="55"/>
  <c r="AG169" i="55"/>
  <c r="AH169" i="55"/>
  <c r="AI169" i="55"/>
  <c r="AJ169" i="55"/>
  <c r="AK169" i="55"/>
  <c r="AL169" i="55"/>
  <c r="AP169" i="55"/>
  <c r="H170" i="55"/>
  <c r="AC170" i="55" s="1"/>
  <c r="K170" i="55"/>
  <c r="T170" i="55" s="1"/>
  <c r="AM170" i="55" s="1"/>
  <c r="X170" i="55"/>
  <c r="Y170" i="55"/>
  <c r="Z170" i="55"/>
  <c r="AA170" i="55"/>
  <c r="AB170" i="55"/>
  <c r="AD170" i="55"/>
  <c r="AE170" i="55"/>
  <c r="AF170" i="55"/>
  <c r="AG170" i="55"/>
  <c r="AH170" i="55"/>
  <c r="AI170" i="55"/>
  <c r="AJ170" i="55"/>
  <c r="AK170" i="55"/>
  <c r="AL170" i="55"/>
  <c r="AP170" i="55"/>
  <c r="H171" i="55"/>
  <c r="AC171" i="55" s="1"/>
  <c r="K171" i="55"/>
  <c r="T171" i="55" s="1"/>
  <c r="AM171" i="55" s="1"/>
  <c r="X171" i="55"/>
  <c r="Y171" i="55"/>
  <c r="Z171" i="55"/>
  <c r="AA171" i="55"/>
  <c r="AB171" i="55"/>
  <c r="AD171" i="55"/>
  <c r="AE171" i="55"/>
  <c r="AF171" i="55"/>
  <c r="AG171" i="55"/>
  <c r="AH171" i="55"/>
  <c r="AI171" i="55"/>
  <c r="AJ171" i="55"/>
  <c r="AK171" i="55"/>
  <c r="AL171" i="55"/>
  <c r="AP171" i="55"/>
  <c r="H172" i="55"/>
  <c r="AC172" i="55" s="1"/>
  <c r="I172" i="55"/>
  <c r="AD172" i="55" s="1"/>
  <c r="X172" i="55"/>
  <c r="Y172" i="55"/>
  <c r="Z172" i="55"/>
  <c r="AA172" i="55"/>
  <c r="AB172" i="55"/>
  <c r="AE172" i="55"/>
  <c r="AF172" i="55"/>
  <c r="AG172" i="55"/>
  <c r="AH172" i="55"/>
  <c r="AI172" i="55"/>
  <c r="AJ172" i="55"/>
  <c r="AK172" i="55"/>
  <c r="AL172" i="55"/>
  <c r="AP172" i="55"/>
  <c r="H173" i="55"/>
  <c r="AC173" i="55" s="1"/>
  <c r="K173" i="55"/>
  <c r="T173" i="55" s="1"/>
  <c r="AM173" i="55" s="1"/>
  <c r="X173" i="55"/>
  <c r="Y173" i="55"/>
  <c r="Z173" i="55"/>
  <c r="AA173" i="55"/>
  <c r="AB173" i="55"/>
  <c r="AD173" i="55"/>
  <c r="AE173" i="55"/>
  <c r="AF173" i="55"/>
  <c r="AG173" i="55"/>
  <c r="AH173" i="55"/>
  <c r="AI173" i="55"/>
  <c r="AJ173" i="55"/>
  <c r="AK173" i="55"/>
  <c r="AL173" i="55"/>
  <c r="AP173" i="55"/>
  <c r="B174" i="55"/>
  <c r="C174" i="55"/>
  <c r="D174" i="55"/>
  <c r="E174" i="55"/>
  <c r="F174" i="55"/>
  <c r="G174" i="55"/>
  <c r="J174" i="55"/>
  <c r="L174" i="55"/>
  <c r="M174" i="55"/>
  <c r="O174" i="55"/>
  <c r="P174" i="55"/>
  <c r="Q174" i="55"/>
  <c r="R174" i="55"/>
  <c r="S174" i="55"/>
  <c r="H176" i="55"/>
  <c r="K176" i="55"/>
  <c r="P176" i="55"/>
  <c r="AI176" i="55" s="1"/>
  <c r="X176" i="55"/>
  <c r="Y176" i="55"/>
  <c r="Z176" i="55"/>
  <c r="AA176" i="55"/>
  <c r="AB176" i="55"/>
  <c r="AD176" i="55"/>
  <c r="AE176" i="55"/>
  <c r="AF176" i="55"/>
  <c r="AG176" i="55"/>
  <c r="AH176" i="55"/>
  <c r="AJ176" i="55"/>
  <c r="AK176" i="55"/>
  <c r="AL176" i="55"/>
  <c r="AP176" i="55"/>
  <c r="H177" i="55"/>
  <c r="AC177" i="55" s="1"/>
  <c r="K177" i="55"/>
  <c r="T177" i="55" s="1"/>
  <c r="AM177" i="55" s="1"/>
  <c r="X177" i="55"/>
  <c r="Y177" i="55"/>
  <c r="Z177" i="55"/>
  <c r="AA177" i="55"/>
  <c r="AB177" i="55"/>
  <c r="AD177" i="55"/>
  <c r="AE177" i="55"/>
  <c r="AF177" i="55"/>
  <c r="AG177" i="55"/>
  <c r="AH177" i="55"/>
  <c r="AI177" i="55"/>
  <c r="AJ177" i="55"/>
  <c r="AK177" i="55"/>
  <c r="AL177" i="55"/>
  <c r="AP177" i="55"/>
  <c r="H178" i="55"/>
  <c r="AC178" i="55" s="1"/>
  <c r="K178" i="55"/>
  <c r="T178" i="55" s="1"/>
  <c r="AM178" i="55" s="1"/>
  <c r="X178" i="55"/>
  <c r="Y178" i="55"/>
  <c r="Z178" i="55"/>
  <c r="AA178" i="55"/>
  <c r="AB178" i="55"/>
  <c r="AD178" i="55"/>
  <c r="AE178" i="55"/>
  <c r="AF178" i="55"/>
  <c r="AG178" i="55"/>
  <c r="AH178" i="55"/>
  <c r="AI178" i="55"/>
  <c r="AJ178" i="55"/>
  <c r="AK178" i="55"/>
  <c r="AL178" i="55"/>
  <c r="AP178" i="55"/>
  <c r="H179" i="55"/>
  <c r="AC179" i="55" s="1"/>
  <c r="K179" i="55"/>
  <c r="T179" i="55" s="1"/>
  <c r="AM179" i="55" s="1"/>
  <c r="X179" i="55"/>
  <c r="Y179" i="55"/>
  <c r="Z179" i="55"/>
  <c r="AA179" i="55"/>
  <c r="AB179" i="55"/>
  <c r="AD179" i="55"/>
  <c r="AE179" i="55"/>
  <c r="AF179" i="55"/>
  <c r="AG179" i="55"/>
  <c r="AH179" i="55"/>
  <c r="AI179" i="55"/>
  <c r="AJ179" i="55"/>
  <c r="AK179" i="55"/>
  <c r="AL179" i="55"/>
  <c r="AP179" i="55"/>
  <c r="H180" i="55"/>
  <c r="AC180" i="55" s="1"/>
  <c r="K180" i="55"/>
  <c r="T180" i="55" s="1"/>
  <c r="AM180" i="55" s="1"/>
  <c r="X180" i="55"/>
  <c r="Y180" i="55"/>
  <c r="Z180" i="55"/>
  <c r="AA180" i="55"/>
  <c r="AB180" i="55"/>
  <c r="AD180" i="55"/>
  <c r="AE180" i="55"/>
  <c r="AF180" i="55"/>
  <c r="AG180" i="55"/>
  <c r="AH180" i="55"/>
  <c r="AI180" i="55"/>
  <c r="AJ180" i="55"/>
  <c r="AK180" i="55"/>
  <c r="AL180" i="55"/>
  <c r="AP180" i="55"/>
  <c r="H181" i="55"/>
  <c r="AC181" i="55" s="1"/>
  <c r="K181" i="55"/>
  <c r="T181" i="55" s="1"/>
  <c r="AM181" i="55" s="1"/>
  <c r="X181" i="55"/>
  <c r="Y181" i="55"/>
  <c r="Z181" i="55"/>
  <c r="AA181" i="55"/>
  <c r="AB181" i="55"/>
  <c r="AD181" i="55"/>
  <c r="AE181" i="55"/>
  <c r="AF181" i="55"/>
  <c r="AG181" i="55"/>
  <c r="AH181" i="55"/>
  <c r="AI181" i="55"/>
  <c r="AJ181" i="55"/>
  <c r="AK181" i="55"/>
  <c r="AL181" i="55"/>
  <c r="AP181" i="55"/>
  <c r="B182" i="55"/>
  <c r="C182" i="55"/>
  <c r="D182" i="55"/>
  <c r="E182" i="55"/>
  <c r="F182" i="55"/>
  <c r="G182" i="55"/>
  <c r="I182" i="55"/>
  <c r="J182" i="55"/>
  <c r="L182" i="55"/>
  <c r="M182" i="55"/>
  <c r="N182" i="55"/>
  <c r="O182" i="55"/>
  <c r="Q182" i="55"/>
  <c r="R182" i="55"/>
  <c r="S182" i="55"/>
  <c r="H184" i="55"/>
  <c r="AC184" i="55" s="1"/>
  <c r="K184" i="55"/>
  <c r="X184" i="55"/>
  <c r="Y184" i="55"/>
  <c r="Z184" i="55"/>
  <c r="AA184" i="55"/>
  <c r="AB184" i="55"/>
  <c r="AD184" i="55"/>
  <c r="AE184" i="55"/>
  <c r="AF184" i="55"/>
  <c r="AG184" i="55"/>
  <c r="AH184" i="55"/>
  <c r="AI184" i="55"/>
  <c r="AJ184" i="55"/>
  <c r="AK184" i="55"/>
  <c r="AL184" i="55"/>
  <c r="AP184" i="55"/>
  <c r="H185" i="55"/>
  <c r="AC185" i="55" s="1"/>
  <c r="K185" i="55"/>
  <c r="T185" i="55" s="1"/>
  <c r="AM185" i="55" s="1"/>
  <c r="X185" i="55"/>
  <c r="Y185" i="55"/>
  <c r="Z185" i="55"/>
  <c r="AA185" i="55"/>
  <c r="AB185" i="55"/>
  <c r="AD185" i="55"/>
  <c r="AE185" i="55"/>
  <c r="AF185" i="55"/>
  <c r="AG185" i="55"/>
  <c r="AH185" i="55"/>
  <c r="AI185" i="55"/>
  <c r="AJ185" i="55"/>
  <c r="AK185" i="55"/>
  <c r="AL185" i="55"/>
  <c r="AP185" i="55"/>
  <c r="H186" i="55"/>
  <c r="AC186" i="55" s="1"/>
  <c r="K186" i="55"/>
  <c r="T186" i="55" s="1"/>
  <c r="AM186" i="55" s="1"/>
  <c r="X186" i="55"/>
  <c r="Y186" i="55"/>
  <c r="Z186" i="55"/>
  <c r="AA186" i="55"/>
  <c r="AB186" i="55"/>
  <c r="AD186" i="55"/>
  <c r="AE186" i="55"/>
  <c r="AF186" i="55"/>
  <c r="AG186" i="55"/>
  <c r="AH186" i="55"/>
  <c r="AI186" i="55"/>
  <c r="AJ186" i="55"/>
  <c r="AK186" i="55"/>
  <c r="AL186" i="55"/>
  <c r="AP186" i="55"/>
  <c r="H187" i="55"/>
  <c r="K187" i="55"/>
  <c r="T187" i="55" s="1"/>
  <c r="AM187" i="55" s="1"/>
  <c r="X187" i="55"/>
  <c r="Y187" i="55"/>
  <c r="Z187" i="55"/>
  <c r="AA187" i="55"/>
  <c r="AB187" i="55"/>
  <c r="AD187" i="55"/>
  <c r="AE187" i="55"/>
  <c r="AF187" i="55"/>
  <c r="AG187" i="55"/>
  <c r="AH187" i="55"/>
  <c r="AI187" i="55"/>
  <c r="AJ187" i="55"/>
  <c r="AK187" i="55"/>
  <c r="AL187" i="55"/>
  <c r="AP187" i="55"/>
  <c r="H188" i="55"/>
  <c r="AC188" i="55" s="1"/>
  <c r="K188" i="55"/>
  <c r="T188" i="55" s="1"/>
  <c r="AM188" i="55" s="1"/>
  <c r="X188" i="55"/>
  <c r="Y188" i="55"/>
  <c r="Z188" i="55"/>
  <c r="AA188" i="55"/>
  <c r="AB188" i="55"/>
  <c r="AD188" i="55"/>
  <c r="AE188" i="55"/>
  <c r="AF188" i="55"/>
  <c r="AG188" i="55"/>
  <c r="AH188" i="55"/>
  <c r="AI188" i="55"/>
  <c r="AJ188" i="55"/>
  <c r="AK188" i="55"/>
  <c r="AL188" i="55"/>
  <c r="AP188" i="55"/>
  <c r="H189" i="55"/>
  <c r="AC189" i="55" s="1"/>
  <c r="I189" i="55"/>
  <c r="X189" i="55"/>
  <c r="Y189" i="55"/>
  <c r="Z189" i="55"/>
  <c r="AA189" i="55"/>
  <c r="AB189" i="55"/>
  <c r="AE189" i="55"/>
  <c r="AF189" i="55"/>
  <c r="AG189" i="55"/>
  <c r="AH189" i="55"/>
  <c r="AI189" i="55"/>
  <c r="AJ189" i="55"/>
  <c r="AK189" i="55"/>
  <c r="AL189" i="55"/>
  <c r="AP189" i="55"/>
  <c r="H190" i="55"/>
  <c r="AC190" i="55" s="1"/>
  <c r="K190" i="55"/>
  <c r="T190" i="55" s="1"/>
  <c r="AM190" i="55" s="1"/>
  <c r="X190" i="55"/>
  <c r="Y190" i="55"/>
  <c r="Z190" i="55"/>
  <c r="AA190" i="55"/>
  <c r="AB190" i="55"/>
  <c r="AD190" i="55"/>
  <c r="AE190" i="55"/>
  <c r="AF190" i="55"/>
  <c r="AG190" i="55"/>
  <c r="AH190" i="55"/>
  <c r="AI190" i="55"/>
  <c r="AJ190" i="55"/>
  <c r="AK190" i="55"/>
  <c r="AL190" i="55"/>
  <c r="AP190" i="55"/>
  <c r="H191" i="55"/>
  <c r="AC191" i="55" s="1"/>
  <c r="I191" i="55"/>
  <c r="K191" i="55" s="1"/>
  <c r="T191" i="55" s="1"/>
  <c r="AM191" i="55" s="1"/>
  <c r="X191" i="55"/>
  <c r="Y191" i="55"/>
  <c r="Z191" i="55"/>
  <c r="AA191" i="55"/>
  <c r="AB191" i="55"/>
  <c r="AE191" i="55"/>
  <c r="AF191" i="55"/>
  <c r="AG191" i="55"/>
  <c r="AH191" i="55"/>
  <c r="AI191" i="55"/>
  <c r="AJ191" i="55"/>
  <c r="AK191" i="55"/>
  <c r="AL191" i="55"/>
  <c r="AP191" i="55"/>
  <c r="B192" i="55"/>
  <c r="C192" i="55"/>
  <c r="D192" i="55"/>
  <c r="E192" i="55"/>
  <c r="F192" i="55"/>
  <c r="G192" i="55"/>
  <c r="J192" i="55"/>
  <c r="L192" i="55"/>
  <c r="M192" i="55"/>
  <c r="N192" i="55"/>
  <c r="O192" i="55"/>
  <c r="P192" i="55"/>
  <c r="Q192" i="55"/>
  <c r="R192" i="55"/>
  <c r="S192" i="55"/>
  <c r="H194" i="55"/>
  <c r="K194" i="55"/>
  <c r="X194" i="55"/>
  <c r="Y194" i="55"/>
  <c r="Z194" i="55"/>
  <c r="AA194" i="55"/>
  <c r="AB194" i="55"/>
  <c r="AD194" i="55"/>
  <c r="AE194" i="55"/>
  <c r="AF194" i="55"/>
  <c r="AG194" i="55"/>
  <c r="AH194" i="55"/>
  <c r="AI194" i="55"/>
  <c r="AJ194" i="55"/>
  <c r="AK194" i="55"/>
  <c r="AL194" i="55"/>
  <c r="AP194" i="55"/>
  <c r="H195" i="55"/>
  <c r="AC195" i="55" s="1"/>
  <c r="K195" i="55"/>
  <c r="T195" i="55" s="1"/>
  <c r="AM195" i="55" s="1"/>
  <c r="X195" i="55"/>
  <c r="Y195" i="55"/>
  <c r="Z195" i="55"/>
  <c r="AA195" i="55"/>
  <c r="AB195" i="55"/>
  <c r="AD195" i="55"/>
  <c r="AE195" i="55"/>
  <c r="AF195" i="55"/>
  <c r="AG195" i="55"/>
  <c r="AH195" i="55"/>
  <c r="AI195" i="55"/>
  <c r="AJ195" i="55"/>
  <c r="AK195" i="55"/>
  <c r="AL195" i="55"/>
  <c r="AP195" i="55"/>
  <c r="H196" i="55"/>
  <c r="AC196" i="55" s="1"/>
  <c r="K196" i="55"/>
  <c r="T196" i="55" s="1"/>
  <c r="AM196" i="55" s="1"/>
  <c r="X196" i="55"/>
  <c r="Y196" i="55"/>
  <c r="Z196" i="55"/>
  <c r="AA196" i="55"/>
  <c r="AB196" i="55"/>
  <c r="AD196" i="55"/>
  <c r="AE196" i="55"/>
  <c r="AF196" i="55"/>
  <c r="AG196" i="55"/>
  <c r="AH196" i="55"/>
  <c r="AI196" i="55"/>
  <c r="AJ196" i="55"/>
  <c r="AK196" i="55"/>
  <c r="AL196" i="55"/>
  <c r="AP196" i="55"/>
  <c r="H197" i="55"/>
  <c r="AC197" i="55" s="1"/>
  <c r="K197" i="55"/>
  <c r="T197" i="55" s="1"/>
  <c r="AM197" i="55" s="1"/>
  <c r="X197" i="55"/>
  <c r="Y197" i="55"/>
  <c r="Z197" i="55"/>
  <c r="AA197" i="55"/>
  <c r="AB197" i="55"/>
  <c r="AD197" i="55"/>
  <c r="AE197" i="55"/>
  <c r="AF197" i="55"/>
  <c r="AG197" i="55"/>
  <c r="AH197" i="55"/>
  <c r="AI197" i="55"/>
  <c r="AJ197" i="55"/>
  <c r="AK197" i="55"/>
  <c r="AL197" i="55"/>
  <c r="AP197" i="55"/>
  <c r="H198" i="55"/>
  <c r="AC198" i="55" s="1"/>
  <c r="K198" i="55"/>
  <c r="T198" i="55" s="1"/>
  <c r="AM198" i="55" s="1"/>
  <c r="X198" i="55"/>
  <c r="Y198" i="55"/>
  <c r="Z198" i="55"/>
  <c r="AA198" i="55"/>
  <c r="AB198" i="55"/>
  <c r="AD198" i="55"/>
  <c r="AE198" i="55"/>
  <c r="AF198" i="55"/>
  <c r="AG198" i="55"/>
  <c r="AH198" i="55"/>
  <c r="AI198" i="55"/>
  <c r="AJ198" i="55"/>
  <c r="AK198" i="55"/>
  <c r="AL198" i="55"/>
  <c r="AP198" i="55"/>
  <c r="H199" i="55"/>
  <c r="AC199" i="55" s="1"/>
  <c r="K199" i="55"/>
  <c r="T199" i="55" s="1"/>
  <c r="AM199" i="55" s="1"/>
  <c r="X199" i="55"/>
  <c r="Y199" i="55"/>
  <c r="Z199" i="55"/>
  <c r="AA199" i="55"/>
  <c r="AB199" i="55"/>
  <c r="AD199" i="55"/>
  <c r="AE199" i="55"/>
  <c r="AF199" i="55"/>
  <c r="AG199" i="55"/>
  <c r="AH199" i="55"/>
  <c r="AI199" i="55"/>
  <c r="AJ199" i="55"/>
  <c r="AK199" i="55"/>
  <c r="AL199" i="55"/>
  <c r="AP199" i="55"/>
  <c r="B200" i="55"/>
  <c r="C200" i="55"/>
  <c r="D200" i="55"/>
  <c r="E200" i="55"/>
  <c r="F200" i="55"/>
  <c r="G200" i="55"/>
  <c r="I200" i="55"/>
  <c r="J200" i="55"/>
  <c r="L200" i="55"/>
  <c r="M200" i="55"/>
  <c r="N200" i="55"/>
  <c r="O200" i="55"/>
  <c r="P200" i="55"/>
  <c r="Q200" i="55"/>
  <c r="R200" i="55"/>
  <c r="S200" i="55"/>
  <c r="H202" i="55"/>
  <c r="AC202" i="55" s="1"/>
  <c r="K202" i="55"/>
  <c r="X202" i="55"/>
  <c r="Y202" i="55"/>
  <c r="Z202" i="55"/>
  <c r="AA202" i="55"/>
  <c r="AB202" i="55"/>
  <c r="AD202" i="55"/>
  <c r="AE202" i="55"/>
  <c r="AF202" i="55"/>
  <c r="AG202" i="55"/>
  <c r="AH202" i="55"/>
  <c r="AI202" i="55"/>
  <c r="AJ202" i="55"/>
  <c r="AK202" i="55"/>
  <c r="AL202" i="55"/>
  <c r="AP202" i="55"/>
  <c r="H203" i="55"/>
  <c r="AC203" i="55" s="1"/>
  <c r="K203" i="55"/>
  <c r="T203" i="55" s="1"/>
  <c r="AM203" i="55" s="1"/>
  <c r="X203" i="55"/>
  <c r="Y203" i="55"/>
  <c r="Z203" i="55"/>
  <c r="AA203" i="55"/>
  <c r="AB203" i="55"/>
  <c r="AD203" i="55"/>
  <c r="AE203" i="55"/>
  <c r="AF203" i="55"/>
  <c r="AG203" i="55"/>
  <c r="AH203" i="55"/>
  <c r="AI203" i="55"/>
  <c r="AJ203" i="55"/>
  <c r="AK203" i="55"/>
  <c r="AL203" i="55"/>
  <c r="AP203" i="55"/>
  <c r="H204" i="55"/>
  <c r="AC204" i="55" s="1"/>
  <c r="K204" i="55"/>
  <c r="T204" i="55" s="1"/>
  <c r="AM204" i="55" s="1"/>
  <c r="X204" i="55"/>
  <c r="Y204" i="55"/>
  <c r="Z204" i="55"/>
  <c r="AA204" i="55"/>
  <c r="AB204" i="55"/>
  <c r="AD204" i="55"/>
  <c r="AE204" i="55"/>
  <c r="AF204" i="55"/>
  <c r="AG204" i="55"/>
  <c r="AH204" i="55"/>
  <c r="AI204" i="55"/>
  <c r="AJ204" i="55"/>
  <c r="AK204" i="55"/>
  <c r="AL204" i="55"/>
  <c r="AP204" i="55"/>
  <c r="H205" i="55"/>
  <c r="AC205" i="55" s="1"/>
  <c r="K205" i="55"/>
  <c r="T205" i="55" s="1"/>
  <c r="AM205" i="55" s="1"/>
  <c r="X205" i="55"/>
  <c r="Y205" i="55"/>
  <c r="Z205" i="55"/>
  <c r="AA205" i="55"/>
  <c r="AB205" i="55"/>
  <c r="AD205" i="55"/>
  <c r="AE205" i="55"/>
  <c r="AF205" i="55"/>
  <c r="AG205" i="55"/>
  <c r="AH205" i="55"/>
  <c r="AI205" i="55"/>
  <c r="AJ205" i="55"/>
  <c r="AK205" i="55"/>
  <c r="AL205" i="55"/>
  <c r="AP205" i="55"/>
  <c r="H206" i="55"/>
  <c r="AC206" i="55" s="1"/>
  <c r="K206" i="55"/>
  <c r="T206" i="55" s="1"/>
  <c r="AM206" i="55" s="1"/>
  <c r="X206" i="55"/>
  <c r="Y206" i="55"/>
  <c r="Z206" i="55"/>
  <c r="AA206" i="55"/>
  <c r="AB206" i="55"/>
  <c r="AD206" i="55"/>
  <c r="AE206" i="55"/>
  <c r="AF206" i="55"/>
  <c r="AG206" i="55"/>
  <c r="AH206" i="55"/>
  <c r="AI206" i="55"/>
  <c r="AJ206" i="55"/>
  <c r="AK206" i="55"/>
  <c r="AL206" i="55"/>
  <c r="AP206" i="55"/>
  <c r="H207" i="55"/>
  <c r="AC207" i="55" s="1"/>
  <c r="K207" i="55"/>
  <c r="T207" i="55" s="1"/>
  <c r="AM207" i="55" s="1"/>
  <c r="X207" i="55"/>
  <c r="Y207" i="55"/>
  <c r="Z207" i="55"/>
  <c r="AA207" i="55"/>
  <c r="AB207" i="55"/>
  <c r="AD207" i="55"/>
  <c r="AE207" i="55"/>
  <c r="AF207" i="55"/>
  <c r="AG207" i="55"/>
  <c r="AH207" i="55"/>
  <c r="AI207" i="55"/>
  <c r="AJ207" i="55"/>
  <c r="AK207" i="55"/>
  <c r="AL207" i="55"/>
  <c r="AP207" i="55"/>
  <c r="B208" i="55"/>
  <c r="C208" i="55"/>
  <c r="D208" i="55"/>
  <c r="E208" i="55"/>
  <c r="F208" i="55"/>
  <c r="G208" i="55"/>
  <c r="I208" i="55"/>
  <c r="J208" i="55"/>
  <c r="L208" i="55"/>
  <c r="M208" i="55"/>
  <c r="N208" i="55"/>
  <c r="O208" i="55"/>
  <c r="P208" i="55"/>
  <c r="Q208" i="55"/>
  <c r="R208" i="55"/>
  <c r="S208" i="55"/>
  <c r="N174" i="55"/>
  <c r="AC148" i="55"/>
  <c r="I108" i="55"/>
  <c r="AD58" i="55"/>
  <c r="AC15" i="55"/>
  <c r="AC176" i="55"/>
  <c r="AD110" i="55"/>
  <c r="K73" i="55"/>
  <c r="T73" i="55" s="1"/>
  <c r="AM73" i="55" s="1"/>
  <c r="AD73" i="55"/>
  <c r="K46" i="55"/>
  <c r="T46" i="55" s="1"/>
  <c r="AM46" i="55" s="1"/>
  <c r="AD46" i="55"/>
  <c r="AD94" i="55"/>
  <c r="AD82" i="55"/>
  <c r="K82" i="55"/>
  <c r="T82" i="55" s="1"/>
  <c r="AM82" i="55" s="1"/>
  <c r="K17" i="55"/>
  <c r="T17" i="55" s="1"/>
  <c r="AM17" i="55" s="1"/>
  <c r="AD140" i="55"/>
  <c r="K11" i="55"/>
  <c r="AD11" i="55"/>
  <c r="AD165" i="55"/>
  <c r="K45" i="55"/>
  <c r="AD45" i="55"/>
  <c r="I13" i="55"/>
  <c r="K21" i="55"/>
  <c r="T21" i="55" s="1"/>
  <c r="AM21" i="55" s="1"/>
  <c r="AD21" i="55"/>
  <c r="K57" i="55"/>
  <c r="T57" i="55" s="1"/>
  <c r="AM57" i="55" s="1"/>
  <c r="AC110" i="55"/>
  <c r="K112" i="55"/>
  <c r="T112" i="55" s="1"/>
  <c r="AM112" i="55" s="1"/>
  <c r="AD112" i="55"/>
  <c r="T194" i="55"/>
  <c r="AM194" i="55" s="1"/>
  <c r="K15" i="55"/>
  <c r="I124" i="55"/>
  <c r="K48" i="55"/>
  <c r="T48" i="55" s="1"/>
  <c r="AM48" i="55" s="1"/>
  <c r="K10" i="55"/>
  <c r="T10" i="55" s="1"/>
  <c r="AD10" i="55"/>
  <c r="AM37" i="55"/>
  <c r="AD191" i="55"/>
  <c r="AC194" i="55"/>
  <c r="AC159" i="55"/>
  <c r="K140" i="55"/>
  <c r="T140" i="55" s="1"/>
  <c r="AM140" i="55" s="1"/>
  <c r="AD148" i="55"/>
  <c r="H108" i="55"/>
  <c r="AC94" i="55"/>
  <c r="AD61" i="55"/>
  <c r="T149" i="55"/>
  <c r="AM149" i="55" s="1"/>
  <c r="K76" i="55" l="1"/>
  <c r="T76" i="55" s="1"/>
  <c r="AM76" i="55" s="1"/>
  <c r="AD149" i="55"/>
  <c r="H208" i="55"/>
  <c r="AD28" i="55"/>
  <c r="AG167" i="55"/>
  <c r="S127" i="83"/>
  <c r="P182" i="55"/>
  <c r="P209" i="55" s="1"/>
  <c r="AD32" i="55"/>
  <c r="T176" i="55"/>
  <c r="AM176" i="55" s="1"/>
  <c r="K50" i="55"/>
  <c r="AD27" i="55"/>
  <c r="K22" i="55"/>
  <c r="H43" i="55"/>
  <c r="E209" i="55"/>
  <c r="S79" i="83"/>
  <c r="D209" i="55"/>
  <c r="T200" i="55"/>
  <c r="O108" i="55"/>
  <c r="O209" i="55" s="1"/>
  <c r="K117" i="55"/>
  <c r="T117" i="55" s="1"/>
  <c r="T100" i="55"/>
  <c r="AM100" i="55" s="1"/>
  <c r="M209" i="55"/>
  <c r="S44" i="83"/>
  <c r="T61" i="55"/>
  <c r="AM61" i="55" s="1"/>
  <c r="T15" i="55"/>
  <c r="AM15" i="55" s="1"/>
  <c r="T118" i="55"/>
  <c r="AM118" i="55" s="1"/>
  <c r="K43" i="55"/>
  <c r="AD116" i="55"/>
  <c r="S29" i="83"/>
  <c r="S58" i="83"/>
  <c r="S107" i="83"/>
  <c r="L209" i="55"/>
  <c r="K138" i="55"/>
  <c r="K182" i="55"/>
  <c r="S209" i="55"/>
  <c r="J209" i="55"/>
  <c r="I55" i="55"/>
  <c r="T45" i="55"/>
  <c r="AM45" i="55" s="1"/>
  <c r="H182" i="55"/>
  <c r="K147" i="55"/>
  <c r="T147" i="55" s="1"/>
  <c r="AM147" i="55" s="1"/>
  <c r="T42" i="55"/>
  <c r="AM42" i="55" s="1"/>
  <c r="T50" i="55"/>
  <c r="AM50" i="55" s="1"/>
  <c r="T182" i="55"/>
  <c r="T27" i="55"/>
  <c r="AM27" i="55" s="1"/>
  <c r="AD26" i="55"/>
  <c r="I34" i="55"/>
  <c r="T202" i="55"/>
  <c r="K208" i="55"/>
  <c r="T135" i="55"/>
  <c r="AM135" i="55" s="1"/>
  <c r="S6" i="83"/>
  <c r="S37" i="83"/>
  <c r="S90" i="83"/>
  <c r="Q132" i="83"/>
  <c r="S68" i="83"/>
  <c r="P132" i="83"/>
  <c r="S98" i="83"/>
  <c r="H200" i="55"/>
  <c r="H55" i="55"/>
  <c r="J23" i="83"/>
  <c r="S23" i="83" s="1"/>
  <c r="O132" i="83"/>
  <c r="S11" i="83"/>
  <c r="S52" i="83"/>
  <c r="S113" i="83"/>
  <c r="N132" i="83"/>
  <c r="M132" i="83"/>
  <c r="N209" i="55"/>
  <c r="S120" i="83"/>
  <c r="L132" i="83"/>
  <c r="S78" i="83"/>
  <c r="R132" i="83"/>
  <c r="K132" i="83"/>
  <c r="AM10" i="55"/>
  <c r="T138" i="55"/>
  <c r="K75" i="55"/>
  <c r="T75" i="55" s="1"/>
  <c r="AM75" i="55" s="1"/>
  <c r="AD75" i="55"/>
  <c r="H22" i="55"/>
  <c r="K13" i="55"/>
  <c r="K146" i="55"/>
  <c r="T146" i="55" s="1"/>
  <c r="I157" i="55"/>
  <c r="AC116" i="55"/>
  <c r="H124" i="55"/>
  <c r="T92" i="55"/>
  <c r="K92" i="55"/>
  <c r="AD189" i="55"/>
  <c r="K189" i="55"/>
  <c r="T189" i="55" s="1"/>
  <c r="AM189" i="55" s="1"/>
  <c r="I192" i="55"/>
  <c r="I174" i="55"/>
  <c r="K159" i="55"/>
  <c r="T159" i="55" s="1"/>
  <c r="AD159" i="55"/>
  <c r="B209" i="55"/>
  <c r="AD146" i="55"/>
  <c r="AC187" i="55"/>
  <c r="H192" i="55"/>
  <c r="AC140" i="55"/>
  <c r="H157" i="55"/>
  <c r="H92" i="55"/>
  <c r="AC24" i="55"/>
  <c r="H34" i="55"/>
  <c r="T22" i="55"/>
  <c r="T184" i="55"/>
  <c r="AC163" i="55"/>
  <c r="H174" i="55"/>
  <c r="T99" i="55"/>
  <c r="AM99" i="55" s="1"/>
  <c r="K108" i="55"/>
  <c r="K172" i="55"/>
  <c r="T172" i="55" s="1"/>
  <c r="AM172" i="55" s="1"/>
  <c r="R209" i="55"/>
  <c r="G209" i="55"/>
  <c r="K55" i="55"/>
  <c r="Q209" i="55"/>
  <c r="F209" i="55"/>
  <c r="AC129" i="55"/>
  <c r="H138" i="55"/>
  <c r="AM128" i="55"/>
  <c r="K72" i="55"/>
  <c r="K60" i="55"/>
  <c r="T60" i="55" s="1"/>
  <c r="I68" i="55"/>
  <c r="C209" i="55"/>
  <c r="T28" i="55"/>
  <c r="AM28" i="55" s="1"/>
  <c r="T70" i="55"/>
  <c r="AM94" i="55"/>
  <c r="K200" i="55"/>
  <c r="AD70" i="55"/>
  <c r="H68" i="55"/>
  <c r="I78" i="55"/>
  <c r="AD118" i="55"/>
  <c r="T11" i="55"/>
  <c r="AM11" i="55" s="1"/>
  <c r="T33" i="55"/>
  <c r="AM33" i="55" s="1"/>
  <c r="AD33" i="55"/>
  <c r="K24" i="55"/>
  <c r="K34" i="55" s="1"/>
  <c r="AC11" i="55"/>
  <c r="H13" i="55"/>
  <c r="AC71" i="55"/>
  <c r="H78" i="55"/>
  <c r="J17" i="83"/>
  <c r="S17" i="83" s="1"/>
  <c r="J90" i="83"/>
  <c r="K78" i="55" l="1"/>
  <c r="T43" i="55"/>
  <c r="AM117" i="55"/>
  <c r="T124" i="55"/>
  <c r="K157" i="55"/>
  <c r="K68" i="55"/>
  <c r="T24" i="55"/>
  <c r="AM24" i="55" s="1"/>
  <c r="K124" i="55"/>
  <c r="T55" i="55"/>
  <c r="AM202" i="55"/>
  <c r="T208" i="55"/>
  <c r="S132" i="83"/>
  <c r="J132" i="83"/>
  <c r="T72" i="55"/>
  <c r="AM72" i="55" s="1"/>
  <c r="H209" i="55"/>
  <c r="AM159" i="55"/>
  <c r="T174" i="55"/>
  <c r="AM146" i="55"/>
  <c r="T157" i="55"/>
  <c r="AM60" i="55"/>
  <c r="T68" i="55"/>
  <c r="AM70" i="55"/>
  <c r="K192" i="55"/>
  <c r="I209" i="55"/>
  <c r="AM184" i="55"/>
  <c r="T192" i="55"/>
  <c r="K174" i="55"/>
  <c r="T13" i="55"/>
  <c r="T108" i="55"/>
  <c r="T34" i="55" l="1"/>
  <c r="K209" i="55"/>
  <c r="T78" i="55"/>
  <c r="T209" i="55" s="1"/>
</calcChain>
</file>

<file path=xl/sharedStrings.xml><?xml version="1.0" encoding="utf-8"?>
<sst xmlns="http://schemas.openxmlformats.org/spreadsheetml/2006/main" count="2999" uniqueCount="1207">
  <si>
    <t>พื้นที่คาดการณ์ (ไร่)</t>
  </si>
  <si>
    <t>ระยะเวลาการปลูกพืช</t>
  </si>
  <si>
    <t>สชป./โครงการฯ</t>
  </si>
  <si>
    <t>พื้นที่ ชป. (ไร่)</t>
  </si>
  <si>
    <t>เกษตร</t>
  </si>
  <si>
    <t>อุปโภค-</t>
  </si>
  <si>
    <t>อุตสาห-</t>
  </si>
  <si>
    <t>ระบบ</t>
  </si>
  <si>
    <t>อื่นๆ</t>
  </si>
  <si>
    <t>รวม</t>
  </si>
  <si>
    <t>ข้าวนาปี</t>
  </si>
  <si>
    <t>พืชไร่</t>
  </si>
  <si>
    <t>พืชผัก</t>
  </si>
  <si>
    <t>อ้อย</t>
  </si>
  <si>
    <t>ไม้ผล</t>
  </si>
  <si>
    <t>ไม้ยืนต้น</t>
  </si>
  <si>
    <t>บ่อปลา</t>
  </si>
  <si>
    <t>บ่อกุ้ง</t>
  </si>
  <si>
    <t>เริ่ม</t>
  </si>
  <si>
    <t>สิ้นสุด</t>
  </si>
  <si>
    <t>บริโภค</t>
  </si>
  <si>
    <t>กรรม</t>
  </si>
  <si>
    <t>นิเวศน์</t>
  </si>
  <si>
    <t>รวมทั้งหมด</t>
  </si>
  <si>
    <t>-</t>
  </si>
  <si>
    <t>สำนักงานชลประทานที่ 4</t>
  </si>
  <si>
    <t>สำนักงานชลประทานที่ 10</t>
  </si>
  <si>
    <t>สำนักงานชลประทานที่ 11</t>
  </si>
  <si>
    <t>สำนักงานชลประทานที่ 12</t>
  </si>
  <si>
    <t>สำนักงานชลประทานที่ 13</t>
  </si>
  <si>
    <t>กระบี่</t>
  </si>
  <si>
    <t>โครงการชลประทานกระบี่</t>
  </si>
  <si>
    <t>กาญจนบุรี</t>
  </si>
  <si>
    <t>โครงการชลประทานกาญจนบุรี</t>
  </si>
  <si>
    <t>โครงการส่งน้ำและบำรุงรักษากำแพงแสน</t>
  </si>
  <si>
    <t>โครงการส่งน้ำและบำรุงรักษาเขื่อนแม่กลอง</t>
  </si>
  <si>
    <t>โครงการส่งน้ำและบำรุงรักษาท่ามะกา</t>
  </si>
  <si>
    <t>โครงการส่งน้ำและบำรุงรักษานครปฐม</t>
  </si>
  <si>
    <t>โครงการส่งน้ำและบำรุงรักษาพนมทวน</t>
  </si>
  <si>
    <t>กาฬสินธุ์</t>
  </si>
  <si>
    <t>โครงการชลประทานกาฬสินธุ์</t>
  </si>
  <si>
    <t>โครงการส่งน้ำและบำรุงรักษาลำปาว</t>
  </si>
  <si>
    <t>กำแพงเพชร</t>
  </si>
  <si>
    <t>โครงการชลประทานกำแพงเพชร</t>
  </si>
  <si>
    <t>โครงการส่งน้ำและบำรุงรักษาท่อทองแดง</t>
  </si>
  <si>
    <t>ขอนแก่น</t>
  </si>
  <si>
    <t>โครงการชลประทานขอนแก่น</t>
  </si>
  <si>
    <t>โครงการส่งน้ำและบำรุงรักษาพัฒนาลุ่มน้ำพรมเชิญ</t>
  </si>
  <si>
    <t>โครงการส่งน้ำและบำรุงรักษาหนองหวาย</t>
  </si>
  <si>
    <t>จันทบุรี</t>
  </si>
  <si>
    <t>โครงการชลประทานจันทบุรี</t>
  </si>
  <si>
    <t>ฉะเชิงเทรา</t>
  </si>
  <si>
    <t>โครงการชลประทานฉะเชิงเทรา</t>
  </si>
  <si>
    <t>โครงการส่งน้ำและบำรุงรักษาเขื่อนบางปะกง</t>
  </si>
  <si>
    <t>โครงการส่งน้ำและบำรุงรักษาคลองสียัด</t>
  </si>
  <si>
    <t>โครงการส่งน้ำและบำรุงรักษาพระองค์ไชยานุชิต</t>
  </si>
  <si>
    <t>ชลบุรี</t>
  </si>
  <si>
    <t>โครงการชลประทานชลบุรี</t>
  </si>
  <si>
    <t>ชัยนาท</t>
  </si>
  <si>
    <t>โครงการชลประทานชัยนาท</t>
  </si>
  <si>
    <t>โครงการส่งน้ำและบำรุงรักษาเขื่อนเจ้าพระยา</t>
  </si>
  <si>
    <t>โครงการส่งน้ำและบำรุงรักษาท่าโบสถ์</t>
  </si>
  <si>
    <t>โครงการส่งน้ำและบำรุงรักษาบรมธาตุ</t>
  </si>
  <si>
    <t>โครงการส่งน้ำและบำรุงรักษาพลเทพ</t>
  </si>
  <si>
    <t>โครงการส่งน้ำและบำรุงรักษามโนรมย์</t>
  </si>
  <si>
    <t>ชัยภูมิ</t>
  </si>
  <si>
    <t>โครงการชลประทานชัยภูมิ</t>
  </si>
  <si>
    <t>โครงการส่งน้ำและบำรุงรักษาพัฒนาลุ่มน้ำชีตอนบน</t>
  </si>
  <si>
    <t>ชุมพร</t>
  </si>
  <si>
    <t>โครงการชลประทานชุมพร</t>
  </si>
  <si>
    <t>เชียงราย</t>
  </si>
  <si>
    <t>โครงการชลประทานเชียงราย</t>
  </si>
  <si>
    <t>โครงการส่งน้ำและบำรุงรักษาแม่ลาว</t>
  </si>
  <si>
    <t>เชียงใหม่</t>
  </si>
  <si>
    <t>โครงการชลประทานเชียงใหม่</t>
  </si>
  <si>
    <t>โครงการชลประทานลำพูน</t>
  </si>
  <si>
    <t>โครงการส่งน้ำและบำรุงรักษาเขื่อนแม่กวงอุดมธารา</t>
  </si>
  <si>
    <t>โครงการส่งน้ำและบำรุงรักษาแม่แตง</t>
  </si>
  <si>
    <t>โครงการส่งน้ำและบำรุงรักษาแม่แฝกแม่งัด</t>
  </si>
  <si>
    <t>ตรัง</t>
  </si>
  <si>
    <t>โครงการชลประทานตรัง</t>
  </si>
  <si>
    <t>ตราด</t>
  </si>
  <si>
    <t>โครงการชลประทานตราด</t>
  </si>
  <si>
    <t>ตาก</t>
  </si>
  <si>
    <t>โครงการชลประทานตาก</t>
  </si>
  <si>
    <t>นครนายก</t>
  </si>
  <si>
    <t>โครงการชลประทานนครนายก</t>
  </si>
  <si>
    <t>โครงการส่งน้ำและบำรุงรักษาเขื่อนขุนด่านปราการชล</t>
  </si>
  <si>
    <t>โครงการส่งน้ำและบำรุงรักษานครนายก</t>
  </si>
  <si>
    <t>นครปฐม</t>
  </si>
  <si>
    <t>โครงการชลประทานนครปฐม</t>
  </si>
  <si>
    <t>โครงการส่งน้ำและบำรุงรักษาบางเลน</t>
  </si>
  <si>
    <t>โครงการส่งน้ำและบำรุงรักษาพระพิมล</t>
  </si>
  <si>
    <t>นครพนม</t>
  </si>
  <si>
    <t>โครงการชลประทานนครพนม</t>
  </si>
  <si>
    <t>โครงการส่งน้ำและบำรุงรักษาพัฒนาลุ่มน้ำก่ำ</t>
  </si>
  <si>
    <t>นครราชสีมา</t>
  </si>
  <si>
    <t>โครงการชลประทานนครราชสีมา</t>
  </si>
  <si>
    <t>โครงการส่งน้ำและบำรุงรักษาทุ่งสัมฤทธิ์</t>
  </si>
  <si>
    <t>โครงการส่งน้ำและบำรุงรักษามูลกลาง</t>
  </si>
  <si>
    <t>โครงการส่งน้ำและบำรุงรักษามูลบนลำแชะ</t>
  </si>
  <si>
    <t>โครงการส่งน้ำและบำรุงรักษาลำตะคอง</t>
  </si>
  <si>
    <t>โครงการส่งน้ำและบำรุงรักษาลำปลายมาศ</t>
  </si>
  <si>
    <t>โครงการส่งน้ำและบำรุงรักษาลำพระเพลิง</t>
  </si>
  <si>
    <t>นครศรีธรรมราช</t>
  </si>
  <si>
    <t>โครงการชลประทานนครศรีธรรมราช</t>
  </si>
  <si>
    <t>โครงการส่งน้ำและบำรุงรักษานครศรีธรรมราช</t>
  </si>
  <si>
    <t>โครงการส่งน้ำและบำรุงรักษาลุ่มน้ำปากพนังตอนบน</t>
  </si>
  <si>
    <t>โครงการส่งน้ำและบำรุงรักษาลุ่มน้ำปากพนังตอนล่าง</t>
  </si>
  <si>
    <t>นครสวรรค์</t>
  </si>
  <si>
    <t>โครงการชลประทานนครสวรรค์</t>
  </si>
  <si>
    <t>โครงการส่งน้ำและบำรุงรักษาช่องแค</t>
  </si>
  <si>
    <t>นนทบุรี</t>
  </si>
  <si>
    <t>โครงการชลประทานนนทบุรี</t>
  </si>
  <si>
    <t>โครงการส่งน้ำและบำรุงรักษาพระยาบรรลือ</t>
  </si>
  <si>
    <t>นราธิวาส</t>
  </si>
  <si>
    <t>โครงการชลประทานนราธิวาส</t>
  </si>
  <si>
    <t>โครงการส่งน้ำและบำรุงรักษาลุ่มน้ำโกลก</t>
  </si>
  <si>
    <t>โครงการส่งน้ำและบำรุงรักษาลุ่มน้ำบางนรา</t>
  </si>
  <si>
    <t>น่าน</t>
  </si>
  <si>
    <t>โครงการชลประทานน่าน</t>
  </si>
  <si>
    <t>บึงกาฬ</t>
  </si>
  <si>
    <t>โครงการชลประทานบึงกาฬ</t>
  </si>
  <si>
    <t>บุรีรัมย์</t>
  </si>
  <si>
    <t>โครงการชลประทานบุรีรัมย์</t>
  </si>
  <si>
    <t>โครงการส่งน้ำและบำรุงรักษาลำนางรอง</t>
  </si>
  <si>
    <t>ปทุมธานี</t>
  </si>
  <si>
    <t>โครงการส่งน้ำและบำรุงรักษารังสิตใต้</t>
  </si>
  <si>
    <t>โครงการชลประทานปทุมธานี</t>
  </si>
  <si>
    <t>ประจวบคีรีขันธ์</t>
  </si>
  <si>
    <t>โครงการชลประทานประจวบคีรีขันธ์</t>
  </si>
  <si>
    <t>โครงการส่งน้ำและบำรุงรักษาปราณบุรี</t>
  </si>
  <si>
    <t>ปราจีนบุรี</t>
  </si>
  <si>
    <t>โครงการชลประทานปราจีนบุรี</t>
  </si>
  <si>
    <t>โครงการส่งน้ำและบำรุงรักษาบางพลวง</t>
  </si>
  <si>
    <t>ปัตตานี</t>
  </si>
  <si>
    <t>โครงการชลประทานปัตตานี</t>
  </si>
  <si>
    <t>พระนครศรีอยุธยา</t>
  </si>
  <si>
    <t>โครงการชลประทานอยุธยา</t>
  </si>
  <si>
    <t>โครงการส่งน้ำและบำรุงรักษาเจ้าเจ็ดบางยี่หน</t>
  </si>
  <si>
    <t>โครงการส่งน้ำและบำรุงรักษานครหลวง</t>
  </si>
  <si>
    <t>โครงการส่งน้ำและบำรุงรักษาบางบาล</t>
  </si>
  <si>
    <t>โครงการส่งน้ำและบำรุงรักษาป่าสักใต้</t>
  </si>
  <si>
    <t>โครงการส่งน้ำและบำรุงรักษาผักไห่</t>
  </si>
  <si>
    <t>โครงการส่งน้ำและบำรุงรักษารังสิตเหนือ</t>
  </si>
  <si>
    <t>พะเยา</t>
  </si>
  <si>
    <t>โครงการชลประทานพะเยา</t>
  </si>
  <si>
    <t>พังงา</t>
  </si>
  <si>
    <t>โครงการชลประทานพังงา</t>
  </si>
  <si>
    <t>พัทลุง</t>
  </si>
  <si>
    <t>โครงการชลประทานพัทลุง</t>
  </si>
  <si>
    <t>โครงการส่งน้ำและบำรุงรักษาท่าเชียด</t>
  </si>
  <si>
    <t>พิจิตร</t>
  </si>
  <si>
    <t>โครงการชลประทานพิจิตร</t>
  </si>
  <si>
    <t>โครงการส่งน้ำและบำรุงรักษาดงเศรษฐี</t>
  </si>
  <si>
    <t>โครงการส่งน้ำและบำรุงรักษาท่าบัว</t>
  </si>
  <si>
    <t>พิษณุโลก</t>
  </si>
  <si>
    <t>โครงการชลประทานพิษณุโลก</t>
  </si>
  <si>
    <t>โครงการส่งน้ำและบำรุงรักษาเขื่อนแควน้อยบำรุงแดน</t>
  </si>
  <si>
    <t>โครงการส่งน้ำและบำรุงรักษาเขื่อนนเรศวร</t>
  </si>
  <si>
    <t>โครงการส่งน้ำและบำรุงรักษาพลายชุมพล</t>
  </si>
  <si>
    <t>โครงการส่งน้ำและบำรุงรักษายมน่าน</t>
  </si>
  <si>
    <t>เพชรบุรี</t>
  </si>
  <si>
    <t>โครงการชลประทานเพชรบุรี</t>
  </si>
  <si>
    <t>โครงการส่งน้ำและบำรุงรักษาเพชรบุรี</t>
  </si>
  <si>
    <t>เพชรบูรณ์</t>
  </si>
  <si>
    <t>โครงการชลประทานเพชรบูรณ์</t>
  </si>
  <si>
    <t>แพร่</t>
  </si>
  <si>
    <t>โครงการชลประทานแพร่</t>
  </si>
  <si>
    <t>โครงการส่งน้ำและบำรุงรักษาแม่ยม</t>
  </si>
  <si>
    <t>ภูเก็ต</t>
  </si>
  <si>
    <t>โครงการชลประทานภูเก็ต</t>
  </si>
  <si>
    <t>มหาสารคาม</t>
  </si>
  <si>
    <t>โครงการชลประทานมหาสารคาม</t>
  </si>
  <si>
    <t>โครงการส่งน้ำและบำรุงรักษาพัฒนาลุ่มน้ำเสียวใหญ่</t>
  </si>
  <si>
    <t>มุกดาหาร</t>
  </si>
  <si>
    <t>โครงการชลประทานมุกดาหาร</t>
  </si>
  <si>
    <t>แม่ฮ่องสอน</t>
  </si>
  <si>
    <t>โครงการชลประทานแม่ฮ่องสอน</t>
  </si>
  <si>
    <t>ยโสธร</t>
  </si>
  <si>
    <t>โครงการชลประทานยโสธร</t>
  </si>
  <si>
    <t>ยะลา</t>
  </si>
  <si>
    <t>โครงการชลประทานยะลา</t>
  </si>
  <si>
    <t>โครงการส่งน้ำและบำรุงรักษาลุ่มน้ำปัตตานี</t>
  </si>
  <si>
    <t>ร้อยเอ็ด</t>
  </si>
  <si>
    <t>โครงการชลประทานร้อยเอ็ด</t>
  </si>
  <si>
    <t>โครงการส่งน้ำและบำรุงรักษาพัฒนาลุ่มน้ำชีตอนกลาง</t>
  </si>
  <si>
    <t>ระนอง</t>
  </si>
  <si>
    <t>โครงการชลประทานระนอง</t>
  </si>
  <si>
    <t>ระยอง</t>
  </si>
  <si>
    <t>โครงการชลประทานระยอง</t>
  </si>
  <si>
    <t>โครงการส่งน้ำและบำรุงรักษาประแสร์</t>
  </si>
  <si>
    <t>ราชบุรี</t>
  </si>
  <si>
    <t>โครงการชลประทานราชบุรี</t>
  </si>
  <si>
    <t>โครงการส่งน้ำและบำรุงรักษาดำเนินสะดวก</t>
  </si>
  <si>
    <t>โครงการส่งน้ำและบำรุงรักษานครชุม</t>
  </si>
  <si>
    <t>โครงการส่งน้ำและบำรุงรักษาราชบุรีฝั่งขวา</t>
  </si>
  <si>
    <t>โครงการส่งน้ำและบำรุงรักษาราชบุรีฝั่งซ้าย</t>
  </si>
  <si>
    <t>ลพบุรี</t>
  </si>
  <si>
    <t>โครงการชลประทานลพบุรี</t>
  </si>
  <si>
    <t>โครงการส่งน้ำและบำรุงรักษาเขื่อนป่าสักชลสิทธิ์</t>
  </si>
  <si>
    <t>โครงการส่งน้ำและบำรุงรักษาโคกกะเทียม</t>
  </si>
  <si>
    <t>ลำปาง</t>
  </si>
  <si>
    <t>โครงการชลประทานลำปาง</t>
  </si>
  <si>
    <t>โครงการชลประทานสุโขทัย</t>
  </si>
  <si>
    <t>โครงการส่งน้ำและบำรุงรักษากิ่วลมกิ่วคอหมา</t>
  </si>
  <si>
    <t>โครงการส่งน้ำและบำรุงรักษาแม่วัง</t>
  </si>
  <si>
    <t>ลำพูน</t>
  </si>
  <si>
    <t>เลย</t>
  </si>
  <si>
    <t>โครงการชลประทานเลย</t>
  </si>
  <si>
    <t>ศรีสะเกษ</t>
  </si>
  <si>
    <t>โครงการชลประทานศรีสะเกษ</t>
  </si>
  <si>
    <t>โครงการส่งน้ำและบำรุงรักษามูลล่าง</t>
  </si>
  <si>
    <t>สกลนคร</t>
  </si>
  <si>
    <t>โครงการชลประทานสกลนคร</t>
  </si>
  <si>
    <t>โครงการส่งน้ำและบำรุงรักษาน้ำอูน</t>
  </si>
  <si>
    <t>สงขลา</t>
  </si>
  <si>
    <t>โครงการชลประทานสงขลา</t>
  </si>
  <si>
    <t>โครงการส่งน้ำและบำรุงรักษาระโนดกระแสสินธุ์</t>
  </si>
  <si>
    <t>สตูล</t>
  </si>
  <si>
    <t>โครงการชลประทานสตูล</t>
  </si>
  <si>
    <t>สมุทรปราการ</t>
  </si>
  <si>
    <t>โครงการส่งน้ำและบำรุงรักษาชลหารพิจิตร</t>
  </si>
  <si>
    <t>โครงการชลประทานสมุทรปราการ</t>
  </si>
  <si>
    <t>สมุทรสงคราม</t>
  </si>
  <si>
    <t>โครงการชลประทานสมุทรสงคราม</t>
  </si>
  <si>
    <t>สมุทรสาคร</t>
  </si>
  <si>
    <t>โครงการชลประทานสมุทรสาคร</t>
  </si>
  <si>
    <t>โครงการส่งน้ำและบำรุงรักษาภาษีเจริญ</t>
  </si>
  <si>
    <t>สระแก้ว</t>
  </si>
  <si>
    <t>โครงการชลประทานสระแก้ว</t>
  </si>
  <si>
    <t>สระบุรี</t>
  </si>
  <si>
    <t>โครงการชลประทานสระบุรี</t>
  </si>
  <si>
    <t>โครงการส่งน้ำและบำรุงรักษาคลองเพรียวเสาไห้</t>
  </si>
  <si>
    <t>โครงการส่งน้ำและบำรุงรักษาเริงราง</t>
  </si>
  <si>
    <t>สิงห์บุรี</t>
  </si>
  <si>
    <t>โครงการชลประทานสิงห์บุรี</t>
  </si>
  <si>
    <t>โครงการส่งน้ำและบำรุงรักษาชัณสูตร</t>
  </si>
  <si>
    <t>โครงการส่งน้ำและบำรุงรักษามหาราช</t>
  </si>
  <si>
    <t>สุโขทัย</t>
  </si>
  <si>
    <t>โครงการส่งน้ำและบำรุงรักษาสุโขทัย</t>
  </si>
  <si>
    <t>สุพรรณบุรี</t>
  </si>
  <si>
    <t>โครงการชลประทานสุพรรณบุรี</t>
  </si>
  <si>
    <t>โครงการส่งน้ำและบำรุงรักษากระเสียว</t>
  </si>
  <si>
    <t>โครงการส่งน้ำและบำรุงรักษาดอนเจดีย์</t>
  </si>
  <si>
    <t>โครงการส่งน้ำและบำรุงรักษาโพธิ์พระยา</t>
  </si>
  <si>
    <t>โครงการส่งน้ำและบำรุงรักษาสองพี่น้อง</t>
  </si>
  <si>
    <t>โครงการส่งน้ำและบำรุงรักษาสามชุก</t>
  </si>
  <si>
    <t>สุราษฎร์ธานี</t>
  </si>
  <si>
    <t>โครงการชลประทานสุราษฎร์ธานี</t>
  </si>
  <si>
    <t>สุรินทร์</t>
  </si>
  <si>
    <t>โครงการชลประทานสุรินทร์</t>
  </si>
  <si>
    <t>หนองคาย</t>
  </si>
  <si>
    <t>โครงการชลประทานหนองคาย</t>
  </si>
  <si>
    <t>โครงการส่งน้ำและบำรุงรักษาห้วยโมง</t>
  </si>
  <si>
    <t>หนองบัวลำภู</t>
  </si>
  <si>
    <t>โครงการชลประทานหนองบัวลำภู</t>
  </si>
  <si>
    <t>อ่างทอง</t>
  </si>
  <si>
    <t>โครงการชลประทานอ่างทอง</t>
  </si>
  <si>
    <t>โครงการส่งน้ำและบำรุงรักษายางมณี</t>
  </si>
  <si>
    <t>อำนาจเจริญ</t>
  </si>
  <si>
    <t>โครงการชลประทานอำนาจเจริญ</t>
  </si>
  <si>
    <t>อุดรธานี</t>
  </si>
  <si>
    <t>โครงการชลประทานอุดรธานี</t>
  </si>
  <si>
    <t>โครงการส่งน้ำและบำรุงรักษาฝายกุมภวาปี</t>
  </si>
  <si>
    <t>โครงการส่งน้ำและบำรุงรักษาห้วยหลวง</t>
  </si>
  <si>
    <t>อุตรดิตถ์</t>
  </si>
  <si>
    <t>โครงการชลประทานอุตรดิตถ์</t>
  </si>
  <si>
    <t>อุทัยธานี</t>
  </si>
  <si>
    <t>โครงการชลประทานอุทัยธานี</t>
  </si>
  <si>
    <t>โครงการส่งน้ำและบำรุงรักษาทับเสลา</t>
  </si>
  <si>
    <t>อุบลราชธานี</t>
  </si>
  <si>
    <t>โครงการชลประทานอุบลราชธานี</t>
  </si>
  <si>
    <t>โครงการส่งน้ำและบำรุงรักษาโดมน้อย</t>
  </si>
  <si>
    <t>โครงการฯ พัฒนาลุ่มน้ำชีตอนล่างและเซบายตอนล่าง</t>
  </si>
  <si>
    <t>จังหวัด</t>
  </si>
  <si>
    <t>(blank)</t>
  </si>
  <si>
    <t>Grand Total</t>
  </si>
  <si>
    <t>Data</t>
  </si>
  <si>
    <t>Sum of เกษตร</t>
  </si>
  <si>
    <t>Sum of อุปโภค-</t>
  </si>
  <si>
    <t>Sum of อุตสาห-</t>
  </si>
  <si>
    <t>Sum of ระบบ</t>
  </si>
  <si>
    <t>Sum of อื่นๆ</t>
  </si>
  <si>
    <t>Sum of รวม</t>
  </si>
  <si>
    <t>Sum of ข้าวนาปี</t>
  </si>
  <si>
    <t>Sum of พืชไร่</t>
  </si>
  <si>
    <t>Sum of พืชผัก</t>
  </si>
  <si>
    <t>Sum of อ้อย</t>
  </si>
  <si>
    <t>Sum of ไม้ผล</t>
  </si>
  <si>
    <t>Sum of ไม้ยืนต้น</t>
  </si>
  <si>
    <t>Sum of บ่อปลา</t>
  </si>
  <si>
    <t>Sum of บ่อกุ้ง</t>
  </si>
  <si>
    <t>Sum of อื่นๆ2</t>
  </si>
  <si>
    <t>Sum of รวม2</t>
  </si>
  <si>
    <t>กรุงเทพมหานคร</t>
  </si>
  <si>
    <t>ภาค</t>
  </si>
  <si>
    <t>กลาง</t>
  </si>
  <si>
    <t>ตะวันตก</t>
  </si>
  <si>
    <t>ตะวันออก</t>
  </si>
  <si>
    <t>เหนือ</t>
  </si>
  <si>
    <t>Sum of Sum of เกษตร</t>
  </si>
  <si>
    <t>Sum of Sum of ข้าวนาปี</t>
  </si>
  <si>
    <t>Sum of Sum of อุปโภค-</t>
  </si>
  <si>
    <t>Sum of Sum of อุตสาห-</t>
  </si>
  <si>
    <t>Sum of Sum of ระบบ</t>
  </si>
  <si>
    <t>Sum of Sum of อื่นๆ</t>
  </si>
  <si>
    <t>Sum of Sum of รวม</t>
  </si>
  <si>
    <t>Sum of Sum of พืชไร่</t>
  </si>
  <si>
    <t>Sum of Sum of พืชผัก</t>
  </si>
  <si>
    <t>Sum of Sum of อ้อย</t>
  </si>
  <si>
    <t>Sum of Sum of ไม้ผล</t>
  </si>
  <si>
    <t>Sum of Sum of ไม้ยืนต้น</t>
  </si>
  <si>
    <t>Sum of Sum of บ่อปลา</t>
  </si>
  <si>
    <t>Sum of Sum of บ่อกุ้ง</t>
  </si>
  <si>
    <t>Sum of Sum of อื่นๆ2</t>
  </si>
  <si>
    <t>Sum of Sum of รวม2</t>
  </si>
  <si>
    <t>ระบบนิเวศ</t>
  </si>
  <si>
    <t>อุปโภค-บริโภค</t>
  </si>
  <si>
    <t>อุตสาหกรรม</t>
  </si>
  <si>
    <t>#N/A</t>
  </si>
  <si>
    <t>Sum of พื้นที่ ชป. (ไร่)</t>
  </si>
  <si>
    <t>Sum of Sum of พื้นที่ ชป. (ไร่)</t>
  </si>
  <si>
    <t>ลำดับ</t>
  </si>
  <si>
    <t>ปริมาณน้ำ (ล้าน ลบ.ม.)</t>
  </si>
  <si>
    <t>ข้าวนาปี (ไร่)</t>
  </si>
  <si>
    <t>ต้นเดือนสิงหาคม</t>
  </si>
  <si>
    <t>เดือนตุลาคม</t>
  </si>
  <si>
    <t>ปลายเดือนมิถุนายน</t>
  </si>
  <si>
    <t>เดือนกรกฎาคม</t>
  </si>
  <si>
    <t>กลางเดือนกรกฎาคม</t>
  </si>
  <si>
    <t>พื้นที่ลุ่มต่ำเริ่มเมื่อกรมอุตุนิยมวิทยาประกาศการเข้าสู่ฤดูฝน, พื้นที่ดอนเริ่มกลางเดือนกรกฎาคม</t>
  </si>
  <si>
    <t>แนะนำระยะเวลาการปลูกพืช (เดือน)</t>
  </si>
  <si>
    <r>
      <t>ปริมาณน้ำ (ล้าน ม.</t>
    </r>
    <r>
      <rPr>
        <b/>
        <vertAlign val="superscript"/>
        <sz val="14"/>
        <rFont val="TH SarabunPSK"/>
        <family val="2"/>
      </rPr>
      <t>3</t>
    </r>
    <r>
      <rPr>
        <b/>
        <sz val="14"/>
        <rFont val="TH SarabunPSK"/>
        <family val="2"/>
      </rPr>
      <t>)</t>
    </r>
  </si>
  <si>
    <t>นิเวศ</t>
  </si>
  <si>
    <t>สำนักงานชลประทานที่ 1</t>
  </si>
  <si>
    <t>สำนักงานชลประทานที่ 2</t>
  </si>
  <si>
    <t>สำนักงานชลประทานที่ 3</t>
  </si>
  <si>
    <t>สำนักงานชลประทานที่ 5</t>
  </si>
  <si>
    <t>สำนักงานชลประทานที่ 6</t>
  </si>
  <si>
    <t>สำนักงานชลประทานที่ 7</t>
  </si>
  <si>
    <t>สำนักงานชลประทานที่ 8</t>
  </si>
  <si>
    <t>สำนักงานชลประทานที่ 9</t>
  </si>
  <si>
    <t>สำนักงานชลประทานที่ 14</t>
  </si>
  <si>
    <t>สำนักงานชลประทานที่ 15</t>
  </si>
  <si>
    <t>สำนักงานชลประทานที่ 16</t>
  </si>
  <si>
    <t>สำนักงานชลประทานที่ 17</t>
  </si>
  <si>
    <t>ตรวจสอบ</t>
  </si>
  <si>
    <t>กลางเดือนพฤษภาคม</t>
  </si>
  <si>
    <t>พื้นที่ลุ่มต่ำเริ่มเมื่อกรมอุตุนิยมวิทยาประกาศการเข้าสู่ฤดูฝน ,พื้นที่ดอนลุ่มน้ำเจ้าพระยา เริ่มเมื่อกรมอุตุฯประกาศเข้าสู่ฤดูฝน, พื้นที่ดอนลุ่มน้ำแม่กลองเริ่มกลางเดือนกรกฎาคม</t>
  </si>
  <si>
    <t>พื้นที่ดอนลุ่มน้ำเจ้าพระยา เริ่มเมื่อกรมอุตุฯประกาศเข้าสู่ฤดูฝน, พื้นที่ดอนลุ่มน้ำแม่กลองเริ่มกลางเดือนกรกฎาคม</t>
  </si>
  <si>
    <t>พื้นที่ลุ่มต่ำ (บางระกำโมเดล) เริ่ม 1 เมษายน, พื้นที่ลุ่มต่ำเริ่ม 1 พฤษภาคม, พื้นที่ดอนเริ่มเมื่อกรมอุตุฯประกาศเข้าสู่ฤดูฝน</t>
  </si>
  <si>
    <t>พื้นที่ลุ่มต่ำเริ่ม 1 พฤษภาคม, 
พื้นที่ดอนเริ่มเมื่อกรมอุตุฯประกาศเข้าสู่ฤดูฝน</t>
  </si>
  <si>
    <t>เริ่มเมื่อกรมอุตุฯประกาศเข้าสู่ฤดูฝน</t>
  </si>
  <si>
    <t>ข้าวนาปี 2560</t>
  </si>
  <si>
    <t>ข้าวนาปี 2559</t>
  </si>
  <si>
    <t>(-)น้อยกว่า/
(+)มากกว่า</t>
  </si>
  <si>
    <t>พื้นที่ดอนเริ่มเมื่อกรมอุตุฯประกาศเข้าสู่ฤดูฝน</t>
  </si>
  <si>
    <t>พื้นที่ลุ่มต่ำ (บางระกำโมเดล) เริ่ม 1 เมษายน, 
พื้นที่ดอนเริ่มเมื่อกรมอุตุฯประกาศเข้าสู่ฤดูฝน</t>
  </si>
  <si>
    <t>Sum of แนะ</t>
  </si>
  <si>
    <t>Sum of แนะนำ</t>
  </si>
  <si>
    <t>สำนักงานชลประทาน</t>
  </si>
  <si>
    <t>เริ่มเมื่อกรมอุตุนิยมวิทยาประกาศการเข้าสู่ฤดูฝน</t>
  </si>
  <si>
    <t>แผนการจัดสรรน้ำและเพาะปลูกพืชฤดูฝนในเขตชลประทาน ปี2560 (รายจังหวัด)</t>
  </si>
  <si>
    <t>แผนการจัดสรรน้ำและเพาะปลูกพืชฤดูฝนในเขตชลประทาน ลุ่มน้ำเจ้าพระยา ปี2560 (รายจังหวัด)</t>
  </si>
  <si>
    <t>ที่</t>
  </si>
  <si>
    <t>**ข้อมูล ณ วันที่ xxxx</t>
  </si>
  <si>
    <t>ลุ่มน้ำ</t>
  </si>
  <si>
    <t>คาดการณ์ปริมาณน้ำต้นทุน</t>
  </si>
  <si>
    <t>(ล้าน ลบ.ม.)</t>
  </si>
  <si>
    <t>ที่ตั้ง</t>
  </si>
  <si>
    <t>ตำบล</t>
  </si>
  <si>
    <t>อำเภอ</t>
  </si>
  <si>
    <t>หมายเหตุ</t>
  </si>
  <si>
    <t>ชื่ออ่างเก็บน้ำ</t>
  </si>
  <si>
    <t>ชื่อแหล่งน้ำธรรมชาติ</t>
  </si>
  <si>
    <t>ขนาดใหญ่</t>
  </si>
  <si>
    <t>ลุ่มน้ำปิง</t>
  </si>
  <si>
    <t>ลุ่มน้ำวัง</t>
  </si>
  <si>
    <t>ลุ่มน้ำยม</t>
  </si>
  <si>
    <t>ลุ่มน้ำน่าน</t>
  </si>
  <si>
    <t>ลุ่มน้ำสะแกกรัง</t>
  </si>
  <si>
    <t>ลุ่มน้ำชี</t>
  </si>
  <si>
    <t>ลุ่มน้ำมูล</t>
  </si>
  <si>
    <t>ลุ่มน้ำบางปะกง</t>
  </si>
  <si>
    <t>ลุ่มน้ำชายฝั่งทะเลตะวันออก</t>
  </si>
  <si>
    <t>ลุ่มน้ำปราจีนบุรี</t>
  </si>
  <si>
    <t>ลุ่มน้ำป่าสัก</t>
  </si>
  <si>
    <t>ลุ่มน้ำท่าจีน</t>
  </si>
  <si>
    <t>ลุ่มน้ำแม่กลอง</t>
  </si>
  <si>
    <t>ลุ่มน้ำเพชรบุรี</t>
  </si>
  <si>
    <t>ลุ่มน้ำชายฝั่งทะเลประจวบคีรีขันธ์</t>
  </si>
  <si>
    <t>ลุ่มน้ำตาปี</t>
  </si>
  <si>
    <t>บึงบอระเพ็ด</t>
  </si>
  <si>
    <t>พระนอน</t>
  </si>
  <si>
    <t>เมือง</t>
  </si>
  <si>
    <t>ลุ่มน้ำเจ้าพระยา</t>
  </si>
  <si>
    <t>บึงสีไฟ</t>
  </si>
  <si>
    <t>ท่าหลวง</t>
  </si>
  <si>
    <t>หนองหาร</t>
  </si>
  <si>
    <t>ธาตุเชิงชุม</t>
  </si>
  <si>
    <t>ลุ่มน้ำโขงตะวันออกเฉียงเหนือ</t>
  </si>
  <si>
    <t>กว๊านพะเยา</t>
  </si>
  <si>
    <t>เวียง</t>
  </si>
  <si>
    <t>ลุ่มน้ำกกและโขงเหนือ</t>
  </si>
  <si>
    <t>อ่างเก็บน้ำห้วยสีทน</t>
  </si>
  <si>
    <t>หนองกุง</t>
  </si>
  <si>
    <t>อ่างเก็บน้ำใกล้บ้าน</t>
  </si>
  <si>
    <t>กะลุวอเหนือ</t>
  </si>
  <si>
    <t>อ่างเก็บน้ำคลองระบม</t>
  </si>
  <si>
    <t>ท่ากระดาน</t>
  </si>
  <si>
    <t>สนามชัยเขต</t>
  </si>
  <si>
    <t>อ่างเก็บน้ำห้วยยางพะไล</t>
  </si>
  <si>
    <t>บึงพะไล</t>
  </si>
  <si>
    <t>แก้งสนามนาง</t>
  </si>
  <si>
    <t>อ่างเก็บน้ำโป่งจ้อ</t>
  </si>
  <si>
    <t>สันติสุข</t>
  </si>
  <si>
    <t>ดอยหล่อ</t>
  </si>
  <si>
    <t>อ่างเก็บน้ำแม่โก๋น</t>
  </si>
  <si>
    <t>ป่าไหน่</t>
  </si>
  <si>
    <t>พร้าว</t>
  </si>
  <si>
    <t>อ่างเก็บน้ำห้วยช้าง</t>
  </si>
  <si>
    <t>สถาน</t>
  </si>
  <si>
    <t>เชียงของ</t>
  </si>
  <si>
    <t>อ่างเก็บน้ำห้วยแฮต</t>
  </si>
  <si>
    <t>ฝายแก้ว</t>
  </si>
  <si>
    <t>ภูเพียง</t>
  </si>
  <si>
    <t>อ่างเก็บน้ำห้วยไทรงาม</t>
  </si>
  <si>
    <t>หนองพลับ</t>
  </si>
  <si>
    <t>หัวหิน</t>
  </si>
  <si>
    <t>อ่างเก็บน้ำห้วยเมฆา</t>
  </si>
  <si>
    <t>บึงเจริญ</t>
  </si>
  <si>
    <t>บ้านกรวด</t>
  </si>
  <si>
    <t>อ่างเก็บน้ำห้วยทราย</t>
  </si>
  <si>
    <t>บ้านชวน</t>
  </si>
  <si>
    <t>บำเหน็จณรงค์</t>
  </si>
  <si>
    <t>อ่างเก็บน้ำบ้านเพชร</t>
  </si>
  <si>
    <t>บ้านเพชร</t>
  </si>
  <si>
    <t>ภูเขียว</t>
  </si>
  <si>
    <t>อ่างเก็บน้ำห้วยส้มป่อย</t>
  </si>
  <si>
    <t>ท่ากูบ</t>
  </si>
  <si>
    <t>ซับใหญ่</t>
  </si>
  <si>
    <t>อ่างเก็บน้ำห้วยแกง</t>
  </si>
  <si>
    <t>ดงพยุง</t>
  </si>
  <si>
    <t>ดอนจาน</t>
  </si>
  <si>
    <t>อ่างเก็บน้ำห้วยสะทด</t>
  </si>
  <si>
    <t>คำบง</t>
  </si>
  <si>
    <t>ห้วยผึ้ง</t>
  </si>
  <si>
    <t>อ่างเก็บน้ำห้วยวังลิ้นฟ้า</t>
  </si>
  <si>
    <t>คำเหมือดแก้ว</t>
  </si>
  <si>
    <t>ห้วยเม็ก</t>
  </si>
  <si>
    <t>อ่างเก็บน้ำบึงอร่าม</t>
  </si>
  <si>
    <t>ยางตลาด</t>
  </si>
  <si>
    <t>อ่างเก็บน้ำลำพะยัง(ตอนบน)</t>
  </si>
  <si>
    <t>สงเปลือย</t>
  </si>
  <si>
    <t>เขาวง</t>
  </si>
  <si>
    <t>อ่างเก็บน้ำห้วยผึ้ง</t>
  </si>
  <si>
    <t>นิคมห้วยผึ้ง</t>
  </si>
  <si>
    <t>อ่างเก็บน้ำช่องกล่ำล่าง</t>
  </si>
  <si>
    <t>หนองหมากฝ้าย</t>
  </si>
  <si>
    <t>วัฒนานคร</t>
  </si>
  <si>
    <t>อ่างเก็บน้ำท่ากะบาก</t>
  </si>
  <si>
    <t>ท่าแยก</t>
  </si>
  <si>
    <t>อ่างเก็บน้ำคลองหยา</t>
  </si>
  <si>
    <t>ปลายพระยา</t>
  </si>
  <si>
    <t>อ่างเก็บน้ำแม่ตูบ</t>
  </si>
  <si>
    <t>โปงทุ่ง</t>
  </si>
  <si>
    <t>ดอยเต่า</t>
  </si>
  <si>
    <t>อ่างเก็บน้ำแม่ต๋ำ</t>
  </si>
  <si>
    <t>แม่กา</t>
  </si>
  <si>
    <t>อ่างเก็บน้ำบ้านสันกำแพง</t>
  </si>
  <si>
    <t>วังหมี</t>
  </si>
  <si>
    <t>วังน้ำเขียว</t>
  </si>
  <si>
    <t>อ่างเก็บน้ำเขาระกำ</t>
  </si>
  <si>
    <t>วังกระแจะ</t>
  </si>
  <si>
    <t>อ่างเก็บน้ำทรายทอง</t>
  </si>
  <si>
    <t>เขาพระ</t>
  </si>
  <si>
    <t>อ่างเก็บน้ำแม่เมย</t>
  </si>
  <si>
    <t>ทาขุมเงิน</t>
  </si>
  <si>
    <t>แม่ทา</t>
  </si>
  <si>
    <t>อ่างเก็บน้ำห้วยน้ำคำ</t>
  </si>
  <si>
    <t>หนองครก</t>
  </si>
  <si>
    <t>อ่างเก็บน้ำห้วยคล้า</t>
  </si>
  <si>
    <t>หมากเขียบ</t>
  </si>
  <si>
    <t>อ่างเก็บน้ำคลองหลา</t>
  </si>
  <si>
    <t>คลองหลา</t>
  </si>
  <si>
    <t>คลองหอยโข่ง</t>
  </si>
  <si>
    <t>อ่างเก็บน้ำป่าพะยอม</t>
  </si>
  <si>
    <t>เกาะเต่า</t>
  </si>
  <si>
    <t>ป่าพะยอม</t>
  </si>
  <si>
    <t>อ่างเก็บน้ำบางวาด</t>
  </si>
  <si>
    <t>กะทู้</t>
  </si>
  <si>
    <t>อ่างเก็บน้ำห้วยน้ำเขียว</t>
  </si>
  <si>
    <t>คลองท่อมใต้</t>
  </si>
  <si>
    <t>คลองท่อม</t>
  </si>
  <si>
    <t>อ่างเก็บน้ำบางกำปรัด</t>
  </si>
  <si>
    <t>สินปูน</t>
  </si>
  <si>
    <t>เขาพนม</t>
  </si>
  <si>
    <t>อ่างเก็บน้ำคลองกะทูน</t>
  </si>
  <si>
    <t>กะทูน</t>
  </si>
  <si>
    <t>พิปูน</t>
  </si>
  <si>
    <t>อ่างเก็บน้ำห้วยลึก</t>
  </si>
  <si>
    <t>เขาเขน</t>
  </si>
  <si>
    <t>อ่างเก็บน้ำคลองดินแดง</t>
  </si>
  <si>
    <t>อ่างเก็บน้ำบางทรายนวล</t>
  </si>
  <si>
    <t>คลองชะอุ่น</t>
  </si>
  <si>
    <t>พนม</t>
  </si>
  <si>
    <t>อ่างเก็บน้ำห้วยตู้ 2</t>
  </si>
  <si>
    <t>นาจอมเทียน</t>
  </si>
  <si>
    <t>สัตหีบ</t>
  </si>
  <si>
    <t>อ่างเก็บน้ำคลองระโอก</t>
  </si>
  <si>
    <t>ทุ่งควายกิน</t>
  </si>
  <si>
    <t>แกลง</t>
  </si>
  <si>
    <t>อ่างเก็บน้ำหนองกลางดง</t>
  </si>
  <si>
    <t>บึง</t>
  </si>
  <si>
    <t>ศรีราชา</t>
  </si>
  <si>
    <t>อ่างเก็บน้ำห้วยสะพาน</t>
  </si>
  <si>
    <t>บึง-บ่อวิน</t>
  </si>
  <si>
    <t>อ่างเก็บน้ำคลองบอน</t>
  </si>
  <si>
    <t>หนองตาคง</t>
  </si>
  <si>
    <t>โป่งน้ำร้อน</t>
  </si>
  <si>
    <t>อ่างเก็บน้ำชัฎป่าหวาย</t>
  </si>
  <si>
    <t>ท่าเคย</t>
  </si>
  <si>
    <t>สวนผึ้ง</t>
  </si>
  <si>
    <t>อ่างเก็บน้ำห้วยชัน</t>
  </si>
  <si>
    <t>ช่องกุ่ม</t>
  </si>
  <si>
    <t>อ่างเก็บน้ำทับลาน</t>
  </si>
  <si>
    <t>บุพราหมณ์</t>
  </si>
  <si>
    <t>นาดี</t>
  </si>
  <si>
    <t>อ่างเก็บน้ำคลองโบด</t>
  </si>
  <si>
    <t>พรหมณี</t>
  </si>
  <si>
    <t>อ่างเก็บน้ำคลองมะนาว</t>
  </si>
  <si>
    <t>โนนดินแดง</t>
  </si>
  <si>
    <t>อ่างเก็บน้ำลำปลายมาศ</t>
  </si>
  <si>
    <t>บ้านราษฎร์</t>
  </si>
  <si>
    <t>เสิงสาง</t>
  </si>
  <si>
    <t>อ่างเก็บน้ำลำจังหัน</t>
  </si>
  <si>
    <t>สำโรงใหม่</t>
  </si>
  <si>
    <t>ละหานทราย</t>
  </si>
  <si>
    <t>อ่างเก็บน้ำห้วยปรือ</t>
  </si>
  <si>
    <t>อ่างเก็บน้ำลำปะเทีย</t>
  </si>
  <si>
    <t>หนองแวง</t>
  </si>
  <si>
    <t>อ่างเก็บน้ำห้วยเตย</t>
  </si>
  <si>
    <t>สระตะเคียน</t>
  </si>
  <si>
    <t>อ่างเก็บน้ำห้วยตะโก</t>
  </si>
  <si>
    <t>จันทบเพชร</t>
  </si>
  <si>
    <t>อ่างเก็บน้ำห้วยทับครัว</t>
  </si>
  <si>
    <t>บ้านใหม่</t>
  </si>
  <si>
    <t>ครบุรี</t>
  </si>
  <si>
    <t>อ่างเก็บน้ำห้วยขนาดมอญ</t>
  </si>
  <si>
    <t>ตาตุม</t>
  </si>
  <si>
    <t>สังขะ</t>
  </si>
  <si>
    <t>อ่างเก็บน้ำห้วยด่าน</t>
  </si>
  <si>
    <t>ด่าน</t>
  </si>
  <si>
    <t>กาบเชิง</t>
  </si>
  <si>
    <t>อ่างเก็บน้ำห้วยเชิง</t>
  </si>
  <si>
    <t>อ่างเก็บน้ำห้วยตาเกาว์</t>
  </si>
  <si>
    <t>อ่างเก็บน้ำห้วยศาลา</t>
  </si>
  <si>
    <t>โคกตาล</t>
  </si>
  <si>
    <t>ภูสิงห์</t>
  </si>
  <si>
    <t>อ่างเก็บน้ำห้วยโอตาลัต</t>
  </si>
  <si>
    <t>กิ่ง อ.ภูสิงห์</t>
  </si>
  <si>
    <t>อ่างเก็บน้ำหนองสิ</t>
  </si>
  <si>
    <t>สิ</t>
  </si>
  <si>
    <t>ขุนหาญ</t>
  </si>
  <si>
    <t>อ่างเก็บน้ำหนองทะลอก</t>
  </si>
  <si>
    <t>นางรอง</t>
  </si>
  <si>
    <t>อ่างเก็บน้ำลำสำลาย</t>
  </si>
  <si>
    <t>ตะขบ</t>
  </si>
  <si>
    <t>ปักธงชัย</t>
  </si>
  <si>
    <t>อ่างเก็บน้ำห้วยไผ่</t>
  </si>
  <si>
    <t>กกตูม</t>
  </si>
  <si>
    <t>ดงหลวง</t>
  </si>
  <si>
    <t>อ่างเก็บน้ำห้วยตามาย</t>
  </si>
  <si>
    <t>ภูเงิน</t>
  </si>
  <si>
    <t>กันทรลักษณ์</t>
  </si>
  <si>
    <t>อ่างเก็บน้ำอำปึล</t>
  </si>
  <si>
    <t>เทนมีย์</t>
  </si>
  <si>
    <t>อ่างเก็บน้ำห้วยเสนง</t>
  </si>
  <si>
    <t>เฉนียง</t>
  </si>
  <si>
    <t>อ่างเก็บน้ำห้วยท่าเดื่อ</t>
  </si>
  <si>
    <t>นิคมกระเสียว</t>
  </si>
  <si>
    <t>ด่านช้าง</t>
  </si>
  <si>
    <t>อ่างเก็บน้ำห้วยตลาด</t>
  </si>
  <si>
    <t>สะแกซำ</t>
  </si>
  <si>
    <t>อ่างเก็บน้ำห้วยบ้านยาง</t>
  </si>
  <si>
    <t>โคกกรวด</t>
  </si>
  <si>
    <t>อ่างเก็บน้ำห้วยจระเข้มาก</t>
  </si>
  <si>
    <t>บ้านบัว</t>
  </si>
  <si>
    <t>อ่างเก็บน้ำห้วยสวาย</t>
  </si>
  <si>
    <t>สองชั้น</t>
  </si>
  <si>
    <t>กระสัง</t>
  </si>
  <si>
    <t>โพนข่า</t>
  </si>
  <si>
    <t>อ่างเก็บน้ำห้วยปราสาทใหญ่</t>
  </si>
  <si>
    <t>ห้วยบง</t>
  </si>
  <si>
    <t>ด่านขุนทด</t>
  </si>
  <si>
    <t>อ่างเก็บน้ำห้วยสะกาด</t>
  </si>
  <si>
    <t>นิคมสร้างตนเอง</t>
  </si>
  <si>
    <t>พิมาย</t>
  </si>
  <si>
    <t>อ่างเก็บน้ำหนองกก</t>
  </si>
  <si>
    <t>พังเทียม</t>
  </si>
  <si>
    <t>พระทองคำ</t>
  </si>
  <si>
    <t>บัลลังก์</t>
  </si>
  <si>
    <t>โนนไทย</t>
  </si>
  <si>
    <t>อ่างเก็บน้ำลำตะโคง</t>
  </si>
  <si>
    <t>หัวฝาย</t>
  </si>
  <si>
    <t>แคนดง</t>
  </si>
  <si>
    <t>อ่างเก็บน้ำห้วยแก้ว</t>
  </si>
  <si>
    <t>รัตนบุรี</t>
  </si>
  <si>
    <t>อ่างเก็บน้ำห้วยบง</t>
  </si>
  <si>
    <t>ประสุข</t>
  </si>
  <si>
    <t>ชุมพวง</t>
  </si>
  <si>
    <t>อ่างเก็บน้ำหนองเหล่าหิน</t>
  </si>
  <si>
    <t>สร้างถ่อ</t>
  </si>
  <si>
    <t>เขื่องใน</t>
  </si>
  <si>
    <t>อ่างเก็บน้ำห้วยตะคร้อ</t>
  </si>
  <si>
    <t>หนองมะนาว</t>
  </si>
  <si>
    <t>คง</t>
  </si>
  <si>
    <t>อ่างเก็บน้ำลำคันฉู</t>
  </si>
  <si>
    <t>โคกเพชรพัฒนา</t>
  </si>
  <si>
    <t>บำเน็จณรงค์</t>
  </si>
  <si>
    <t>อ่างเก็บน้ำบึงกระโตน</t>
  </si>
  <si>
    <t>ประทาย</t>
  </si>
  <si>
    <t>อ่างเก็บน้ำหนองผือ</t>
  </si>
  <si>
    <t>โพธิ์ชัย</t>
  </si>
  <si>
    <t>พนมไพร</t>
  </si>
  <si>
    <t>อ่างเก็บน้ำห้วยจานใต้</t>
  </si>
  <si>
    <t>บัวแดง</t>
  </si>
  <si>
    <t>ปทุมรัตน์</t>
  </si>
  <si>
    <t>อ่างเก็บน้ำหนองไฮ</t>
  </si>
  <si>
    <t>ประชาพัฒนา</t>
  </si>
  <si>
    <t>วาปีปทุม</t>
  </si>
  <si>
    <t>อ่างเก็บน้ำห้วยจอกขวาง</t>
  </si>
  <si>
    <t>หนองแสง</t>
  </si>
  <si>
    <t>อ่างเก็บน้ำห้วยแล้ง</t>
  </si>
  <si>
    <t>เมืองหงส์</t>
  </si>
  <si>
    <t>จตุรพักตรพิมาน</t>
  </si>
  <si>
    <t>อ่างเก็บน้ำห้วยโพธิ์</t>
  </si>
  <si>
    <t>บุ่ง</t>
  </si>
  <si>
    <t>อ่างเก็บน้ำลำช่อระกา</t>
  </si>
  <si>
    <t>นาฝาย</t>
  </si>
  <si>
    <t>อ่างเก็บน้ำพุทธอุทธยาน</t>
  </si>
  <si>
    <t>อ่างเก็บน้ำห้วยเชียงคำ</t>
  </si>
  <si>
    <t>โนนราษี</t>
  </si>
  <si>
    <t>บรบือ</t>
  </si>
  <si>
    <t>อ่างเก็บน้ำหนองหญ้าม้า</t>
  </si>
  <si>
    <t>รอบเมือง</t>
  </si>
  <si>
    <t>อ่างเก็บน้ำธวัชชัย</t>
  </si>
  <si>
    <t>ธวัชบุรี</t>
  </si>
  <si>
    <t>ในเมือง</t>
  </si>
  <si>
    <t>บ้านไผ่</t>
  </si>
  <si>
    <t>อ่างเก็บน้ำห้วยแอ่ง</t>
  </si>
  <si>
    <t>ศรีสมเด็จ</t>
  </si>
  <si>
    <t>อ่างเก็บน้ำห้วยประดู่</t>
  </si>
  <si>
    <t>บ่อใหญ่</t>
  </si>
  <si>
    <t>อ่างเก็บน้ำแก่งละว้า</t>
  </si>
  <si>
    <t>โคกสำราญ</t>
  </si>
  <si>
    <t>บ้านแฮด</t>
  </si>
  <si>
    <t>อ่างเก็บน้ำห้วยสะแบก</t>
  </si>
  <si>
    <t>หนองบึง</t>
  </si>
  <si>
    <t>เลิงนกทา</t>
  </si>
  <si>
    <t>อ่างเก็บน้ำห้วยลิงโจน</t>
  </si>
  <si>
    <t>ห้องแซง</t>
  </si>
  <si>
    <t>ท่าพระ</t>
  </si>
  <si>
    <t>ห้วยโพธิ์</t>
  </si>
  <si>
    <t>อ่างเก็บน้ำห้วยวังนอง</t>
  </si>
  <si>
    <t>ภูเขาทอง</t>
  </si>
  <si>
    <t>หนองพอก</t>
  </si>
  <si>
    <t>อีตื้อ</t>
  </si>
  <si>
    <t>อ่างเก็บน้ำห้วยฝา</t>
  </si>
  <si>
    <t>อ่างเก็บน้ำห้วยทา</t>
  </si>
  <si>
    <t>อ่างเก็บน้ำห้วยพุ</t>
  </si>
  <si>
    <t>อ่างเก็บน้ำห้วยหอย</t>
  </si>
  <si>
    <t>อ่างเก็บน้ำห้วยมะโน</t>
  </si>
  <si>
    <t>นาคู</t>
  </si>
  <si>
    <t>อ่างเก็บน้ำห้วยหินลับ</t>
  </si>
  <si>
    <t>หนองแคน</t>
  </si>
  <si>
    <t>อ่างเก็บน้ำห้วยไร่</t>
  </si>
  <si>
    <t>อ่างเก็บน้ำห้วยแข้</t>
  </si>
  <si>
    <t>สร้างค้อ</t>
  </si>
  <si>
    <t>ภูพาน</t>
  </si>
  <si>
    <t>อ่างเก็บน้ำห้วยกะเบา</t>
  </si>
  <si>
    <t>อุ่มเหม้า</t>
  </si>
  <si>
    <t>ธาตุพนม</t>
  </si>
  <si>
    <t>อ่างเก็บน้ำห้วยขี้หิน</t>
  </si>
  <si>
    <t>กุดบาก</t>
  </si>
  <si>
    <t>อ่างเก็บน้ำบ้านดงน้อย</t>
  </si>
  <si>
    <t>พิมาน</t>
  </si>
  <si>
    <t>นาแก</t>
  </si>
  <si>
    <t>อ่างเก็บน้ำห้วยยาง</t>
  </si>
  <si>
    <t>ภูกระดึง</t>
  </si>
  <si>
    <t>อ่างเก็บน้ำห้วยกกคูณ</t>
  </si>
  <si>
    <t>ก้านเหลือง</t>
  </si>
  <si>
    <t>อ่างเก็บน้ำห้วยหวด</t>
  </si>
  <si>
    <t>จันทร์เพ็ญ</t>
  </si>
  <si>
    <t>เต่างอย</t>
  </si>
  <si>
    <t>อ่างเก็บน้ำห้วยผักดอก</t>
  </si>
  <si>
    <t>คำพี้</t>
  </si>
  <si>
    <t>อ่างเก็บน้ำห้วยนางออ</t>
  </si>
  <si>
    <t>หนองบ่อ</t>
  </si>
  <si>
    <t>อ่างเก็บน้ำหนองปะโค</t>
  </si>
  <si>
    <t>ปะโค</t>
  </si>
  <si>
    <t>กุมภวาปี</t>
  </si>
  <si>
    <t>อ่างเก็บน้ำห้วยเดียก</t>
  </si>
  <si>
    <t>ห้วยยาง</t>
  </si>
  <si>
    <t>อ่างเก็บน้ำห้วยแคน</t>
  </si>
  <si>
    <t>หนองฮี</t>
  </si>
  <si>
    <t>ปลาปาก</t>
  </si>
  <si>
    <t>อ่างเก็บน้ำภูเพ็ก</t>
  </si>
  <si>
    <t>นาหัวบ่อ</t>
  </si>
  <si>
    <t>พรรณานิคม</t>
  </si>
  <si>
    <t>อ่างเก็บน้ำห้วยทรายขมิ้น</t>
  </si>
  <si>
    <t>พังขว้าง</t>
  </si>
  <si>
    <t>อ่างเก็บน้ำห้วยหินชะแนน</t>
  </si>
  <si>
    <t>มหาชัย</t>
  </si>
  <si>
    <t>อ่างเก็บน้ำห้วยคำบากน้อย</t>
  </si>
  <si>
    <t>บงเหนือ</t>
  </si>
  <si>
    <t>สว่างแดนดิน</t>
  </si>
  <si>
    <t>อ่างเก็บน้ำกุดลิงง้อ</t>
  </si>
  <si>
    <t>อ่างเก็บน้ำห้วยก้านเหลือง</t>
  </si>
  <si>
    <t>ท่าศิลา</t>
  </si>
  <si>
    <t>ส่องดาว</t>
  </si>
  <si>
    <t>อ่างเก็บน้ำบุ่งหมากโมง</t>
  </si>
  <si>
    <t>วังตามัว</t>
  </si>
  <si>
    <t>อ่างเก็บน้ำบ้านจั่น</t>
  </si>
  <si>
    <t>บ้านจั่น</t>
  </si>
  <si>
    <t>อ่างเก็บน้ำห้วยส้มโฮง</t>
  </si>
  <si>
    <t>บ้านผึ้ง</t>
  </si>
  <si>
    <t>อ่างเก็บน้ำหนองสำโรง</t>
  </si>
  <si>
    <t>หมูม่น</t>
  </si>
  <si>
    <t>อ่างเก็บน้ำห้วยน้ำหมาน</t>
  </si>
  <si>
    <t>หมาน</t>
  </si>
  <si>
    <t>อ่างเก็บน้ำคลองตรอน</t>
  </si>
  <si>
    <t>น้ำไคร้</t>
  </si>
  <si>
    <t>น้ำปาด</t>
  </si>
  <si>
    <t>อ่างเก็บน้ำแม่พริก</t>
  </si>
  <si>
    <t>แม่พริก</t>
  </si>
  <si>
    <t>อ่างเก็บน้ำห้วยน้ำสวย</t>
  </si>
  <si>
    <t>นาดอกคำ</t>
  </si>
  <si>
    <t>นาด้วง</t>
  </si>
  <si>
    <t>อ่างเก็บน้ำแม่อาบ</t>
  </si>
  <si>
    <t>นาโป่ง</t>
  </si>
  <si>
    <t>เถิน</t>
  </si>
  <si>
    <t>อ่างเก็บน้ำห้วยโทง</t>
  </si>
  <si>
    <t>วานรนิวาส</t>
  </si>
  <si>
    <t>อ่างเก็บน้ำห้วยบังพวน</t>
  </si>
  <si>
    <t>หนองนาง</t>
  </si>
  <si>
    <t>ท่อบ่อ</t>
  </si>
  <si>
    <t>อ่างเก็บน้ำห้วยแห้ว</t>
  </si>
  <si>
    <t>นาแขม</t>
  </si>
  <si>
    <t>อ่างเก็บน้ำห้วยซวง</t>
  </si>
  <si>
    <t>คุสะคาม</t>
  </si>
  <si>
    <t>โสม</t>
  </si>
  <si>
    <t>อ่างเก็บน้ำห้วยคำผักหนาม</t>
  </si>
  <si>
    <t>บ่อแก้ว</t>
  </si>
  <si>
    <t>บ้านม่วง</t>
  </si>
  <si>
    <t>อ่างเก็บน้ำน้ำซับคำโรงสี</t>
  </si>
  <si>
    <t>อ่างเก็บน้ำห้วยรังแร้ง</t>
  </si>
  <si>
    <t>ดงเหนือ</t>
  </si>
  <si>
    <t>อ่างเก็บน้ำห้วยทอน (ตอนบน)</t>
  </si>
  <si>
    <t>ด่านศีรสุข</t>
  </si>
  <si>
    <t>โพธิ์ตาก</t>
  </si>
  <si>
    <t>อ่างเก็บน้ำแม่วะ</t>
  </si>
  <si>
    <t>บ้านบอม</t>
  </si>
  <si>
    <t>แม่ทะ</t>
  </si>
  <si>
    <t>อ่างเก็บน้ำห้วยซำ</t>
  </si>
  <si>
    <t>โซ่</t>
  </si>
  <si>
    <t>โซ่พิสัย</t>
  </si>
  <si>
    <t>อ่างเก็บน้ำห้วยเกี๋ยง</t>
  </si>
  <si>
    <t>เมืองยาว</t>
  </si>
  <si>
    <t>ห้างฉัตร</t>
  </si>
  <si>
    <t>อ่างเก็บน้ำแม่ยาว</t>
  </si>
  <si>
    <t>แม่สัน</t>
  </si>
  <si>
    <t>อ่างเก็บน้ำห้วยแม่สัน</t>
  </si>
  <si>
    <t>เวียงตาล</t>
  </si>
  <si>
    <t>อ่างแม่ไพร</t>
  </si>
  <si>
    <t>วอแก้ว</t>
  </si>
  <si>
    <t>อ่างเก็บน้ำแม่ธิ</t>
  </si>
  <si>
    <t>บ้านธิ</t>
  </si>
  <si>
    <t>อ่างเก็บน้ำห้วยมะนาว</t>
  </si>
  <si>
    <t>ดอนเปา</t>
  </si>
  <si>
    <t>แม่วาง</t>
  </si>
  <si>
    <t>อ่างเก็บน้ำแม่ปืม</t>
  </si>
  <si>
    <t>แม่ใจ</t>
  </si>
  <si>
    <t>อ่างเก็บน้ำแม่ต๊าก</t>
  </si>
  <si>
    <t>ดอนศิลา</t>
  </si>
  <si>
    <t>เวียงชัย</t>
  </si>
  <si>
    <t>อ่างเก็บน้ำคลองเฉลียงลับ</t>
  </si>
  <si>
    <t>นาป่า</t>
  </si>
  <si>
    <t>อ่างเก็บน้ำคลองพระพุทธ</t>
  </si>
  <si>
    <t>ทับไทร</t>
  </si>
  <si>
    <t>อ่างเก็บน้ำวังปลาหมอ</t>
  </si>
  <si>
    <t>เขาสมิง</t>
  </si>
  <si>
    <t>อ่างเก็บน้ำห้วยใหญ่</t>
  </si>
  <si>
    <t>ตะคร้อ</t>
  </si>
  <si>
    <t>ไพศาลี</t>
  </si>
  <si>
    <t>อ่างเก็บน้ำคลองเพรียว</t>
  </si>
  <si>
    <t>ปากเกรียว</t>
  </si>
  <si>
    <t>อ่างเก็บน้ำห้วยวังเต็น</t>
  </si>
  <si>
    <t>หาดขาม</t>
  </si>
  <si>
    <t>กุยบุรี</t>
  </si>
  <si>
    <t>อ่างเก็บน้ำกระหร่างสาม</t>
  </si>
  <si>
    <t>ป่าเด็ง</t>
  </si>
  <si>
    <t>แก่งกระจาน</t>
  </si>
  <si>
    <t>อ่างเก็บน้ำห้วยโดน</t>
  </si>
  <si>
    <t>โพนงาม</t>
  </si>
  <si>
    <t>บุณฑริก</t>
  </si>
  <si>
    <t>อ่างเก็บน้ำห้วยด่านไอ</t>
  </si>
  <si>
    <t>ละลาย</t>
  </si>
  <si>
    <t>อ่างเก็บน้ำห้วยตะแบง</t>
  </si>
  <si>
    <t>บักดอง</t>
  </si>
  <si>
    <t>อ่างเก็บน้ำห้วยน้ำฮิ</t>
  </si>
  <si>
    <t>ปงสนุกฃ</t>
  </si>
  <si>
    <t>เวียงสา</t>
  </si>
  <si>
    <t>อ่างเก็บน้ำห้วยไร่2</t>
  </si>
  <si>
    <t>ดงมอน</t>
  </si>
  <si>
    <t>ธงชัยเหนือ</t>
  </si>
  <si>
    <t>กุดเค้า</t>
  </si>
  <si>
    <t>มัญจาคีรี</t>
  </si>
  <si>
    <t>ดอนอะราง</t>
  </si>
  <si>
    <t>หนองกี่</t>
  </si>
  <si>
    <t>อ่างเก็บน้ำห้วยติ๊กชู</t>
  </si>
  <si>
    <t>ห้วยติ๊กชู</t>
  </si>
  <si>
    <t>อ่างเก็บน้ำลำเชียงไกร ตอนบน</t>
  </si>
  <si>
    <t>บ้านเก่า</t>
  </si>
  <si>
    <t>อ่างเก็บน้ำด่านชุมพล</t>
  </si>
  <si>
    <t>ด่านชุมพล</t>
  </si>
  <si>
    <t>บ่อไร่</t>
  </si>
  <si>
    <t>อ่างเก็บน้ำห้วยน้ำใส</t>
  </si>
  <si>
    <t>วังอ่าง</t>
  </si>
  <si>
    <t>ชะอวด</t>
  </si>
  <si>
    <t>อ่างเก็บน้ำห้วยโทห้วยยาง</t>
  </si>
  <si>
    <t>เหล่าโพนค้อ</t>
  </si>
  <si>
    <t>โคกศรีสุพรรณ</t>
  </si>
  <si>
    <t>อ่างเก็บน้ำคลองสะเดา</t>
  </si>
  <si>
    <t>สำนักแต้ว</t>
  </si>
  <si>
    <t>สะเดา</t>
  </si>
  <si>
    <t>อ่างเก็บน้ำคลองจำไหร</t>
  </si>
  <si>
    <t>อ่างเก็บน้ำคลองโสน</t>
  </si>
  <si>
    <t>นนทรี</t>
  </si>
  <si>
    <t>อ่างเก็บน้ำห้วยแม่ประจันต์</t>
  </si>
  <si>
    <t>หนองหญ้าปล้อง</t>
  </si>
  <si>
    <t>อ่างเก็บน้ำบ้านบึง</t>
  </si>
  <si>
    <t>คลองกิ่ว</t>
  </si>
  <si>
    <t>บ้านบึง</t>
  </si>
  <si>
    <t>อ่างเก็บน้ำห้วยมะหาด</t>
  </si>
  <si>
    <t>หนองพันจันทร์</t>
  </si>
  <si>
    <t>บ้านคา</t>
  </si>
  <si>
    <t>น้ำพุ</t>
  </si>
  <si>
    <t>อ่างเก็บน้ำเขารัง</t>
  </si>
  <si>
    <t>ผ่านศึก</t>
  </si>
  <si>
    <t>อรัญประเทศ</t>
  </si>
  <si>
    <t>อ่างเก็บน้ำคลองสามสิบ</t>
  </si>
  <si>
    <t>เขาสามสิบ</t>
  </si>
  <si>
    <t>เขาฉกรรจ์</t>
  </si>
  <si>
    <t>อ่างเก็บน้ำคลองเกลือ</t>
  </si>
  <si>
    <t>อ่างเก็บน้ำพระปรง</t>
  </si>
  <si>
    <t>อ่างเก็บน้ำบ้านจรัส</t>
  </si>
  <si>
    <t>จรัส</t>
  </si>
  <si>
    <t>บัวเชด</t>
  </si>
  <si>
    <t>โดมประดิษญ์</t>
  </si>
  <si>
    <t>น้ำยืน</t>
  </si>
  <si>
    <t>อ่างเก็บน้ำห้วยสำราญ</t>
  </si>
  <si>
    <t>ห้วยตามอญ</t>
  </si>
  <si>
    <t>อ่างเก็บน้ำบ้านทำนบ</t>
  </si>
  <si>
    <t>อ่างเก็บน้ำห้วยขนุน</t>
  </si>
  <si>
    <t>ภูผาหมอก</t>
  </si>
  <si>
    <t>อ่างเก็บน้ำห้วยตาจู</t>
  </si>
  <si>
    <t>กันทรอม</t>
  </si>
  <si>
    <t>อ่างเก็บน้ำลำตะเพิน</t>
  </si>
  <si>
    <t>องค์พระ</t>
  </si>
  <si>
    <t>อ่างเก็บน้ำห้วยหินกอง</t>
  </si>
  <si>
    <t>คอแลน</t>
  </si>
  <si>
    <t>อ่างเก็บน้ำห้วยลำพอก</t>
  </si>
  <si>
    <t>ยาง</t>
  </si>
  <si>
    <t>ศีขรภูมิ</t>
  </si>
  <si>
    <t>อ่างเก็บน้ำบ้านเกาะแก้ว</t>
  </si>
  <si>
    <t>เกาะแก้ว</t>
  </si>
  <si>
    <t>สำโรงทาบ</t>
  </si>
  <si>
    <t>อ่างเก็บน้ำห้วยค้อ</t>
  </si>
  <si>
    <t>เขวาไร่</t>
  </si>
  <si>
    <t>นาเชือก</t>
  </si>
  <si>
    <t>อ่างเก็บน้ำห้วยคะคาง</t>
  </si>
  <si>
    <t>โคกก่อ</t>
  </si>
  <si>
    <t>อ่างเก็บน้ำหนองกรองแก้ว</t>
  </si>
  <si>
    <t>ศรีบุญเรือง</t>
  </si>
  <si>
    <t>ชนบท</t>
  </si>
  <si>
    <t>อ่างเก็บน้ำแก่งเลิงจาน</t>
  </si>
  <si>
    <t>แก่งเลิงจาน</t>
  </si>
  <si>
    <t>อ่างเก็บน้ำหนองขอนสัก</t>
  </si>
  <si>
    <t>วังยาว</t>
  </si>
  <si>
    <t>โกสุมพิสัย</t>
  </si>
  <si>
    <t>อ่างเก็บน้ำห้วยเรือ</t>
  </si>
  <si>
    <t>ดงมะไฟ</t>
  </si>
  <si>
    <t>อ่างเก็บน้ำห้วยทรายตอนบน 1</t>
  </si>
  <si>
    <t>อ่างเก็บน้ำห้วยสามพาด</t>
  </si>
  <si>
    <t>ทับกุง</t>
  </si>
  <si>
    <t>อ่างเก็บน้ำห้วยเหล่ายาง</t>
  </si>
  <si>
    <t>หนองบัว</t>
  </si>
  <si>
    <t>อ่างเก็บน้ำห้วยลิ้นควาย</t>
  </si>
  <si>
    <t>อ่างเก็บน้ำแม่ทาน</t>
  </si>
  <si>
    <t>แม่กั๊วะ</t>
  </si>
  <si>
    <t>สบปราบ</t>
  </si>
  <si>
    <t>อ่างเก็บน้ำห้วยเปลวเงือก</t>
  </si>
  <si>
    <t>จุมพล</t>
  </si>
  <si>
    <t>โพนพิสัย</t>
  </si>
  <si>
    <t>อ่างเก็บน้ำแม่ทะ</t>
  </si>
  <si>
    <t>พระบาท</t>
  </si>
  <si>
    <t>อ่างเก็บน้ำห้วยสังเคียบ</t>
  </si>
  <si>
    <t>แชงบาดาล</t>
  </si>
  <si>
    <t>สมเด็จ</t>
  </si>
  <si>
    <t>อ่างเก็บน้ำคลองกลาง</t>
  </si>
  <si>
    <t>นาหินลาด</t>
  </si>
  <si>
    <t>ปากพลี</t>
  </si>
  <si>
    <t>อ่างเก็บน้ำห้วยแร้ง</t>
  </si>
  <si>
    <t>อ่างเก็บน้ำคลองป่าบอน</t>
  </si>
  <si>
    <t>ทุ่งนารี</t>
  </si>
  <si>
    <t>ป่าบอน</t>
  </si>
  <si>
    <t>แม่พริกตอนบน</t>
  </si>
  <si>
    <t>อ่างเก็บน้ำทุ่งทะเลหลวง</t>
  </si>
  <si>
    <t>ปากแคว</t>
  </si>
  <si>
    <t>อ่างเก็บน้ำลำพันชาด</t>
  </si>
  <si>
    <t>หนองกุงทับม้า</t>
  </si>
  <si>
    <t>วังสามหมอ</t>
  </si>
  <si>
    <t>อ่างเก็บน้ำห้วยนา</t>
  </si>
  <si>
    <t>วังชมภู</t>
  </si>
  <si>
    <t>อ่างเก็บน้ำซากนอก</t>
  </si>
  <si>
    <t>ห้วยใหญ่</t>
  </si>
  <si>
    <t>บางละมุง</t>
  </si>
  <si>
    <t>อ่างเก็บน้ำห้วยผาก</t>
  </si>
  <si>
    <t>กลัดหลวง</t>
  </si>
  <si>
    <t>ท่ายาง</t>
  </si>
  <si>
    <t>อ่างเก็บน้ำห้วยแม่ข้อน</t>
  </si>
  <si>
    <t>เมืองงาย</t>
  </si>
  <si>
    <t>เชียงดาว</t>
  </si>
  <si>
    <t>อ่างเก็บน้ำแม่สรวย</t>
  </si>
  <si>
    <t>แม่สรวย</t>
  </si>
  <si>
    <t>อ่างเก็บน้ำห้วยพุงใหญ่</t>
  </si>
  <si>
    <t>บึงงาม</t>
  </si>
  <si>
    <t>อ่างเก็บน้ำห้วยจุมจัง</t>
  </si>
  <si>
    <t>กุดหว้า</t>
  </si>
  <si>
    <t>กุฉินารายณ์</t>
  </si>
  <si>
    <t>อ่างเก็บน้ำห้วยพุง</t>
  </si>
  <si>
    <t>อ่างเก็บน้ำแม่ใจ</t>
  </si>
  <si>
    <t>อ่างเก็บน้ำแม่ออน</t>
  </si>
  <si>
    <t>ออนเหนือ</t>
  </si>
  <si>
    <t>แม่ออน</t>
  </si>
  <si>
    <t>อ่างเก็บน้ำดอยงู</t>
  </si>
  <si>
    <t>แม่เจดีย์</t>
  </si>
  <si>
    <t>เวียงป่าเป้า</t>
  </si>
  <si>
    <t>อ่างเก็บน้ำแม่เลียง</t>
  </si>
  <si>
    <t>เสริมขวา</t>
  </si>
  <si>
    <t>เสริมงาม</t>
  </si>
  <si>
    <t>อ่างเก็บน้ำน้ำแหง</t>
  </si>
  <si>
    <t>นาน้อย</t>
  </si>
  <si>
    <t>อ่างเก็บน้ำห้วยแม่เฉย</t>
  </si>
  <si>
    <t>บ้านด่านนาขาม</t>
  </si>
  <si>
    <t>อ่างเก็บน้ำคลองโพธิ์</t>
  </si>
  <si>
    <t>แม่เปิน</t>
  </si>
  <si>
    <t>อ่างเก็บน้ำห้วยทรวง</t>
  </si>
  <si>
    <t>บ้านตึก</t>
  </si>
  <si>
    <t>ศรีสัชนาลัย</t>
  </si>
  <si>
    <t>อ่างเก็บน้ำห้วยหินแก้ว</t>
  </si>
  <si>
    <t>อ่างเก็บน้ำห้วยกระเฌอ</t>
  </si>
  <si>
    <t>กุดไห</t>
  </si>
  <si>
    <t>อ่างเก็บน้ำห้วยคำ</t>
  </si>
  <si>
    <t>อ่างเก็บน้ำละเลิงหวาย</t>
  </si>
  <si>
    <t>โนนข่า</t>
  </si>
  <si>
    <t>พล</t>
  </si>
  <si>
    <t>อ่างเก็บน้ำห้วยลอมไผ่</t>
  </si>
  <si>
    <t>ศรีสุข</t>
  </si>
  <si>
    <t>สีชมพู</t>
  </si>
  <si>
    <t>อ่างเก็บน้ำหนองบัว</t>
  </si>
  <si>
    <t>โคกพระ</t>
  </si>
  <si>
    <t>กันทรวิชัย</t>
  </si>
  <si>
    <t>อ่างเก็บน้ำหนองกระทุ่ม</t>
  </si>
  <si>
    <t>เขวา</t>
  </si>
  <si>
    <t>อ่างเก็บน้ำห้วยชะโนด</t>
  </si>
  <si>
    <t>อ่างเก็บน้ำห้วยจันลา</t>
  </si>
  <si>
    <t>อ่างเก็บน้ำห้วยวังใหญ่</t>
  </si>
  <si>
    <t>โดมประดิษฐ์</t>
  </si>
  <si>
    <t>อ่างเก็บน้ำลำเชียงสา</t>
  </si>
  <si>
    <t>อุดมทรัพย์</t>
  </si>
  <si>
    <t>อ่างเก็บน้ำห้วยกะเลงเวก</t>
  </si>
  <si>
    <t>เทพรักษา</t>
  </si>
  <si>
    <t>อ่างเก็บน้ำห้วยซับประดู่</t>
  </si>
  <si>
    <t>มิตรภาพ</t>
  </si>
  <si>
    <t>สีคิ้ว</t>
  </si>
  <si>
    <t>อ่างเก็บน้ำลำฉมวก</t>
  </si>
  <si>
    <t>หลู่งประดู่</t>
  </si>
  <si>
    <t>ห้วยแถลง</t>
  </si>
  <si>
    <t>อ่างเก็บน้ำดอกกราย</t>
  </si>
  <si>
    <t>ปลวกแดง</t>
  </si>
  <si>
    <t>อ่างเก็บน้ำคลองใหญ่</t>
  </si>
  <si>
    <t>ละหาร</t>
  </si>
  <si>
    <t>อ่างเก็บน้ำลาดกระทิง</t>
  </si>
  <si>
    <t>ลาดกระทิง</t>
  </si>
  <si>
    <t>อ่างเก็บน้ำศาลทราย</t>
  </si>
  <si>
    <t>คลองพลู</t>
  </si>
  <si>
    <t>เขาคิชฌกูฏ</t>
  </si>
  <si>
    <t>อ่างเก็บน้ำมาบประชัน</t>
  </si>
  <si>
    <t>หนองปรือ</t>
  </si>
  <si>
    <t>อ่างเก็บน้ำหนองค้อ</t>
  </si>
  <si>
    <t>หนองขาม</t>
  </si>
  <si>
    <t>อ่างเก็บน้ำห้วยขุนจิต</t>
  </si>
  <si>
    <t>ตะเคียนเตี้ย</t>
  </si>
  <si>
    <t>เกาะจันทร์</t>
  </si>
  <si>
    <t>อ่างเก็บน้ำเขาอีโต้ 1</t>
  </si>
  <si>
    <t>บ้านดงขี้เหล็ก</t>
  </si>
  <si>
    <t>อ่างเก็บน้ำคลองไม้ปล้อง</t>
  </si>
  <si>
    <t>เนินหอม</t>
  </si>
  <si>
    <t>อ่างเก็บน้ำบ้านมะนาว</t>
  </si>
  <si>
    <t>บ่อพลอย</t>
  </si>
  <si>
    <t>อ่างเก็บน้ำคลองสะพานหิน</t>
  </si>
  <si>
    <t>แหลมกลัด</t>
  </si>
  <si>
    <t>ทัพราช</t>
  </si>
  <si>
    <t>ตาพระยา</t>
  </si>
  <si>
    <t>อ่างเก็บน้ำห้วยตะเคียน</t>
  </si>
  <si>
    <t>โคคลาน</t>
  </si>
  <si>
    <t>อ่างเก็บน้ำคลองพระสทึง</t>
  </si>
  <si>
    <t>วังใหม่</t>
  </si>
  <si>
    <t>วังสมบูรณ์</t>
  </si>
  <si>
    <t>อ่างเก็บน้ำคลองวังบอน</t>
  </si>
  <si>
    <t>อ่างเก็บน้ำห้วยขอนแก่น</t>
  </si>
  <si>
    <t>ห้วยไร่</t>
  </si>
  <si>
    <t>หล่มสัก</t>
  </si>
  <si>
    <t>อ่างเก็บน้ำห้วยป่าแดง</t>
  </si>
  <si>
    <t>ป่าเลา</t>
  </si>
  <si>
    <t>อ่างเก็บน้ำห้วยน้ำก้อ</t>
  </si>
  <si>
    <t>น้ำก้อ</t>
  </si>
  <si>
    <t>อ่างเก็บน้ำคลองลำกง</t>
  </si>
  <si>
    <t>วังท่าดี</t>
  </si>
  <si>
    <t>หนองไผ่</t>
  </si>
  <si>
    <t>อ่างเก็บน้ำห้วยน้ำชุนใหญ่</t>
  </si>
  <si>
    <t>แคมป์สน</t>
  </si>
  <si>
    <t>เขาค้อ</t>
  </si>
  <si>
    <t>อ่างเก็บน้ำห้วยเล็ง</t>
  </si>
  <si>
    <t>โคกปราง</t>
  </si>
  <si>
    <t>วิเชียรบุรี</t>
  </si>
  <si>
    <t>อ่างเก็บน้ำซับตะเคียน</t>
  </si>
  <si>
    <t>ห้วยหิน</t>
  </si>
  <si>
    <t>ชัยบาดาล</t>
  </si>
  <si>
    <t>อ่างเก็บน้ำห้วยโป่ง</t>
  </si>
  <si>
    <t>ห้วยโป่ง</t>
  </si>
  <si>
    <t>โคกสำโรง</t>
  </si>
  <si>
    <t>อ่างเก็บน้ำห้วยขุนแก้ว</t>
  </si>
  <si>
    <t>ทองหลาง</t>
  </si>
  <si>
    <t>ห้วยคต</t>
  </si>
  <si>
    <t>อ่างเก็บน้ำห้วยเทียน</t>
  </si>
  <si>
    <t>ทุ่งกระบ่ำ</t>
  </si>
  <si>
    <t>เลาขวัญ</t>
  </si>
  <si>
    <t>อ่างเก็บน้ำท่าเคย</t>
  </si>
  <si>
    <t>อ่างเก็บน้ำห้วยสามเขา</t>
  </si>
  <si>
    <t>เขากระปุก</t>
  </si>
  <si>
    <t>อ่างเก็บน้ำห้วยสงสัย</t>
  </si>
  <si>
    <t>อ่างเก็บน้ำทุ่งขาม</t>
  </si>
  <si>
    <t>ไร่ใหม่พัฒนา</t>
  </si>
  <si>
    <t>ชะอำ</t>
  </si>
  <si>
    <t>อ่างเก็บน้ำห้วยตะแปด</t>
  </si>
  <si>
    <t>สามพระยา</t>
  </si>
  <si>
    <t>อ่างเก็บน้ำคลองหาดส้มแป้น</t>
  </si>
  <si>
    <t>หาดส้มแป้น</t>
  </si>
  <si>
    <t>อ่างเก็บน้ำบางเหนียวดำ</t>
  </si>
  <si>
    <t>ศรีสุนทร</t>
  </si>
  <si>
    <t>ถลาง</t>
  </si>
  <si>
    <t>อ่างเก็บน้ำคลองหัวช้าง</t>
  </si>
  <si>
    <t>ตะโหมด</t>
  </si>
  <si>
    <t>อ่างเก็บน้ำกุดตาเพชร</t>
  </si>
  <si>
    <t>กุดตาเพชร</t>
  </si>
  <si>
    <t>ลำสนธิ</t>
  </si>
  <si>
    <t>อ่างเก็บน้ำห้วยเดื่อ</t>
  </si>
  <si>
    <t>แม่งอน</t>
  </si>
  <si>
    <t>ฝาง</t>
  </si>
  <si>
    <t>อ่างเก็บน้ำแม่แหลงหลวง</t>
  </si>
  <si>
    <t>แม่อาย</t>
  </si>
  <si>
    <t>อ่างเก็บน้ำแม่ทะลบหลวง</t>
  </si>
  <si>
    <t>แม่ทะลบ</t>
  </si>
  <si>
    <t>ไชยปราการ</t>
  </si>
  <si>
    <t>อ่างเก็บน้ำแม่ตีบ</t>
  </si>
  <si>
    <t>มะเขือแจ้</t>
  </si>
  <si>
    <t>อ่างเก็บน้ำแม่สาน</t>
  </si>
  <si>
    <t>ศรีบัวบาน</t>
  </si>
  <si>
    <t>อ่างเก็บน้ำแม่ต่ำ</t>
  </si>
  <si>
    <t>เสริมซ้าย</t>
  </si>
  <si>
    <t>อ่างเก็บน้ำแม่ฟ้า</t>
  </si>
  <si>
    <t>แจ้ห่ม</t>
  </si>
  <si>
    <t>อ่างเก็บน้ำคลองน้ำไหล</t>
  </si>
  <si>
    <t>คลองน้ำไหล</t>
  </si>
  <si>
    <t>คลองลาน</t>
  </si>
  <si>
    <t>อ่างเก็บน้ำแม่มาน</t>
  </si>
  <si>
    <t>สูงเม่น</t>
  </si>
  <si>
    <t>อ่างเก็บน้ำแม่สอง</t>
  </si>
  <si>
    <t>เตาปูน</t>
  </si>
  <si>
    <t>สอง</t>
  </si>
  <si>
    <t>อ่างเก็บน้ำแม่ถาง</t>
  </si>
  <si>
    <t>บ้านเวียง</t>
  </si>
  <si>
    <t>ร้องกวาง</t>
  </si>
  <si>
    <t>อ่างเก็บน้ำแม่คำปอง</t>
  </si>
  <si>
    <t>น้ำเลา</t>
  </si>
  <si>
    <t>อ่างเก็บน้ำแม่สาย</t>
  </si>
  <si>
    <t>ป่าแดง</t>
  </si>
  <si>
    <t>อ่างเก็บน้ำคลองข้างใน</t>
  </si>
  <si>
    <t>ศรีคีรีมาศ</t>
  </si>
  <si>
    <t>ศิริมาศ</t>
  </si>
  <si>
    <t>อ่างเก็บน้ำห้วยท่าแพ</t>
  </si>
  <si>
    <t>บ้านแก่ง</t>
  </si>
  <si>
    <t>อ่างเก็บน้ำห้วยแม่สูง</t>
  </si>
  <si>
    <t>ป่างิ้ว</t>
  </si>
  <si>
    <t>อ่างเก็บน้ำแม่กองค่าย</t>
  </si>
  <si>
    <t>ตลิ่งชัน</t>
  </si>
  <si>
    <t>บ้านด่านลานหอย</t>
  </si>
  <si>
    <t>อ่างเก็บน้ำห้วยแม่สอด</t>
  </si>
  <si>
    <t>พระธาตุผาแดง</t>
  </si>
  <si>
    <t>แม่สอด</t>
  </si>
  <si>
    <t>แม่ปะ</t>
  </si>
  <si>
    <t>อ่างเก็บน้ำห้วยแม่ท้อ</t>
  </si>
  <si>
    <t>ป่ามะม่วง</t>
  </si>
  <si>
    <t>อ่างเก็บน้ำน้ำเลย</t>
  </si>
  <si>
    <t>แก่งศรีภูมิ</t>
  </si>
  <si>
    <t>ภูหลวง</t>
  </si>
  <si>
    <t>อ่างเก็บน้ำห้วยน้ำบ่อ</t>
  </si>
  <si>
    <t>ขมิ้น</t>
  </si>
  <si>
    <t>โพธิไพศาล</t>
  </si>
  <si>
    <t>กุสุมาลย์</t>
  </si>
  <si>
    <t>อ่างเก็บน้ำห้วยศรีคุณ</t>
  </si>
  <si>
    <t>อ่างเก็บน้ำห้วยขี้เหล็ก</t>
  </si>
  <si>
    <t>นากอก</t>
  </si>
  <si>
    <t>นิคมคำสร้อย</t>
  </si>
  <si>
    <t>อ่างเก็บน้ำห้วยมุก</t>
  </si>
  <si>
    <t>น้ำเที่ยง</t>
  </si>
  <si>
    <t>คำชะอี</t>
  </si>
  <si>
    <t>อ่างเก็บน้ำห้วยถ้ำแข้</t>
  </si>
  <si>
    <t>คำเจริญ</t>
  </si>
  <si>
    <t>ตระการพืชผล</t>
  </si>
  <si>
    <t>อ่างเก็บน้ำห้วยเดือนห้า</t>
  </si>
  <si>
    <t>ห้วยข่า</t>
  </si>
  <si>
    <t>อ่างเก็บน้ำห้วยสะพงน้อย</t>
  </si>
  <si>
    <t>อ่างเก็บน้ำห้วยละมืด</t>
  </si>
  <si>
    <t>อ่างเก็บน้ำหนองช้างใหญ่</t>
  </si>
  <si>
    <t>ยางสักกระโพหลุ่ม</t>
  </si>
  <si>
    <t>ม่วงสามสิบ</t>
  </si>
  <si>
    <t>อ่างเก็บน้ำห้วยโพงตอนบน</t>
  </si>
  <si>
    <t>ศรีแก้ว</t>
  </si>
  <si>
    <t>อ่างเก็บน้ำห้วยสีโท</t>
  </si>
  <si>
    <t>หนองมะแซว</t>
  </si>
  <si>
    <t>อ่างเก็บน้ำห้วยใหญ่ (วังแขม)</t>
  </si>
  <si>
    <t>มหาโพธิ์</t>
  </si>
  <si>
    <t>สระโบสถ์</t>
  </si>
  <si>
    <t>อ่างเก็บน้ำห้วยหิน</t>
  </si>
  <si>
    <t>เขาแหลม</t>
  </si>
  <si>
    <t>อ่างเก็บน้ำบ้านดง</t>
  </si>
  <si>
    <t>ผักแพว</t>
  </si>
  <si>
    <t>แก่งคอย</t>
  </si>
  <si>
    <t>อ่างเก็บน้ำมวกเหล็ก</t>
  </si>
  <si>
    <t>คำพราน</t>
  </si>
  <si>
    <t>วังม่วง</t>
  </si>
  <si>
    <t>อ่างเก็บน้ำคลองช่องลม</t>
  </si>
  <si>
    <t>เขาล้าน</t>
  </si>
  <si>
    <t>ทับสะแก</t>
  </si>
  <si>
    <t>อ่างเก็บน้ำคลองจะกระ</t>
  </si>
  <si>
    <t>นาหูกวาง</t>
  </si>
  <si>
    <t>อ่างเก็บน้ำยางชุม</t>
  </si>
  <si>
    <t>อ่างเก็บน้ำคลองบึง</t>
  </si>
  <si>
    <t>อ่าวน้อย</t>
  </si>
  <si>
    <t>อ่างเก็บน้ำห้วยอ่างหิน</t>
  </si>
  <si>
    <t>อ่างเก็บน้ำห้วยมงคล</t>
  </si>
  <si>
    <t>ทับใต้</t>
  </si>
  <si>
    <t>อ่างเก็บน้ำคลองแห้ง</t>
  </si>
  <si>
    <t>กระบี่น้อย</t>
  </si>
  <si>
    <t>อ่างเก็บน้ำคลองท่างิ้ว</t>
  </si>
  <si>
    <t>ท่างิ้ว</t>
  </si>
  <si>
    <t>ห้วยยอด</t>
  </si>
  <si>
    <t>อ่างเก็บน้ำห้วยน้ำบอง</t>
  </si>
  <si>
    <t>โคกม่วง</t>
  </si>
  <si>
    <t>โนนสัง</t>
  </si>
  <si>
    <t>อ่างเก็บน้ำกุดแดง</t>
  </si>
  <si>
    <t>หัวช้าง</t>
  </si>
  <si>
    <t>อ่างเก็บน้ำน้ำพรม</t>
  </si>
  <si>
    <t>โนนทอง</t>
  </si>
  <si>
    <t>เกษตรสมบูรณ์</t>
  </si>
  <si>
    <t>อ่างเก็บน้ำพุตะเคียน</t>
  </si>
  <si>
    <t>อ่างเก็บน้ำห้วยป่าเลา</t>
  </si>
  <si>
    <t>อ่างเก็บน้ำหนองบ่อ</t>
  </si>
  <si>
    <t>ลุ่มน้ำโขงเหนือ</t>
  </si>
  <si>
    <t>ลุ่มน้ำโตนเลสาป</t>
  </si>
  <si>
    <t>ลุ่มน้ำทะเลสาบสงขลา</t>
  </si>
  <si>
    <t>ลุ่มน้ำภาคใต้ฝั่งตะวันตก</t>
  </si>
  <si>
    <t>ลุ่มน้ำภาคใต้ฝั่งตะวันออก</t>
  </si>
  <si>
    <t>ลุ่มน้ำกก</t>
  </si>
  <si>
    <t>ลุ่มน้ำสาละวิน</t>
  </si>
  <si>
    <t>โครงการชลประทาน</t>
  </si>
  <si>
    <t>อ่างเก็บน้ำห้วยหินชะแนนใหญ</t>
  </si>
  <si>
    <t>ศูนย์ศึกษาพัฒนาภูพาน</t>
  </si>
  <si>
    <t>ลุ่มน้ำคู้</t>
  </si>
  <si>
    <t xml:space="preserve">อ่างเก็บน้ำคลองหลวง รัชชโลทร </t>
  </si>
  <si>
    <t>โครงการส่งน้ำและบำรุงรักษาคลองหลวง รัชชโลทร</t>
  </si>
  <si>
    <t>โครงการชลประทานคลองเพรียว-เสาไห้</t>
  </si>
  <si>
    <t>โครงการส่งน้ำและบำรุงรักษาบางนรา</t>
  </si>
  <si>
    <t>อ่างเก็บน้ำลำเชียงไกร ตอนล่าง</t>
  </si>
  <si>
    <t>อ่างเก็บน้ำห้วยพลาญเสือ(ห้วยผึ้ง)</t>
  </si>
  <si>
    <t>อ่างเก็บน้ำห้วยสำนักไม้เต็ง</t>
  </si>
  <si>
    <t>อ่างเก็บน้ำแม่พริกผาวิ่งชู้</t>
  </si>
  <si>
    <t>ณ วันที่ 1 พ.ค. 64</t>
  </si>
  <si>
    <r>
      <t xml:space="preserve">แผนการจัดสรรน้ำ </t>
    </r>
    <r>
      <rPr>
        <b/>
        <sz val="16"/>
        <color rgb="FF0000FF"/>
        <rFont val="TH SarabunPSK"/>
        <family val="2"/>
      </rPr>
      <t xml:space="preserve">ฤดูฝน ปี 2564 </t>
    </r>
    <r>
      <rPr>
        <b/>
        <u/>
        <sz val="16"/>
        <rFont val="TH SarabunPSK"/>
        <family val="2"/>
      </rPr>
      <t>รายอ่างเก็บน้ำขนาดกลาง</t>
    </r>
    <r>
      <rPr>
        <b/>
        <sz val="16"/>
        <rFont val="TH SarabunPSK"/>
        <family val="2"/>
      </rPr>
      <t xml:space="preserve"> (1 พฤษภาคม - 31 ตุลาคม 2564)</t>
    </r>
  </si>
  <si>
    <t>1 พ.ค. - 31 ต.ค. 64</t>
  </si>
  <si>
    <r>
      <t>แผนการจัดสรรน้ำ</t>
    </r>
    <r>
      <rPr>
        <b/>
        <sz val="16"/>
        <color rgb="FF0000FF"/>
        <rFont val="TH SarabunPSK"/>
        <family val="2"/>
      </rPr>
      <t xml:space="preserve"> ฤดูฝน ปี 2564</t>
    </r>
    <r>
      <rPr>
        <b/>
        <sz val="16"/>
        <color theme="9" tint="-0.249977111117893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 xml:space="preserve"> </t>
    </r>
    <r>
      <rPr>
        <b/>
        <u/>
        <sz val="16"/>
        <rFont val="TH SarabunPSK"/>
        <family val="2"/>
      </rPr>
      <t>แหล่งน้ำธรรมชาติ</t>
    </r>
    <r>
      <rPr>
        <b/>
        <sz val="16"/>
        <rFont val="TH SarabunPSK"/>
        <family val="2"/>
      </rPr>
      <t xml:space="preserve"> (1 พฤษภาคม - 31 ตุลาคม 2564)</t>
    </r>
  </si>
  <si>
    <t>แผนการจัดสรรน้ำ ฤดูฝน ปี 2564  (ล้าน ลบ.ม.)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</si>
</sst>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[$-107041E]d\ mmm\ yy;@"/>
    <numFmt numFmtId="189" formatCode="[$-107041E]mmm\ yy;@"/>
    <numFmt numFmtId="190" formatCode="0.00000"/>
  </numFmts>
  <fonts count="24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5"/>
      <name val="BrowalliaUPC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vertAlign val="superscript"/>
      <sz val="14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sz val="10"/>
      <color rgb="FFC0000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u/>
      <sz val="16"/>
      <name val="TH SarabunPSK"/>
      <family val="2"/>
    </font>
    <font>
      <b/>
      <sz val="16"/>
      <color theme="9" tint="-0.249977111117893"/>
      <name val="TH SarabunPSK"/>
      <family val="2"/>
    </font>
    <font>
      <b/>
      <sz val="16"/>
      <color rgb="FF0000FF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B4FA"/>
        <bgColor indexed="64"/>
      </patternFill>
    </fill>
    <fill>
      <patternFill patternType="solid">
        <fgColor rgb="FFEDFDB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187" fontId="11" fillId="0" borderId="0" applyFont="0" applyFill="0" applyBorder="0" applyAlignment="0" applyProtection="0"/>
    <xf numFmtId="0" fontId="5" fillId="0" borderId="0"/>
    <xf numFmtId="0" fontId="2" fillId="0" borderId="0"/>
    <xf numFmtId="9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2" fillId="0" borderId="0"/>
  </cellStyleXfs>
  <cellXfs count="302">
    <xf numFmtId="0" fontId="0" fillId="0" borderId="0" xfId="0"/>
    <xf numFmtId="0" fontId="4" fillId="0" borderId="0" xfId="5" applyFont="1" applyAlignment="1">
      <alignment horizontal="center"/>
    </xf>
    <xf numFmtId="0" fontId="4" fillId="0" borderId="0" xfId="5" applyNumberFormat="1" applyFont="1" applyAlignment="1">
      <alignment horizontal="center"/>
    </xf>
    <xf numFmtId="0" fontId="4" fillId="0" borderId="0" xfId="5" applyNumberFormat="1" applyFont="1" applyFill="1" applyAlignment="1">
      <alignment horizontal="center"/>
    </xf>
    <xf numFmtId="0" fontId="5" fillId="0" borderId="0" xfId="0" applyFont="1"/>
    <xf numFmtId="3" fontId="0" fillId="0" borderId="0" xfId="0" applyNumberFormat="1"/>
    <xf numFmtId="189" fontId="0" fillId="0" borderId="0" xfId="0" applyNumberFormat="1"/>
    <xf numFmtId="0" fontId="3" fillId="0" borderId="0" xfId="5" applyFont="1" applyAlignment="1">
      <alignment horizontal="center"/>
    </xf>
    <xf numFmtId="0" fontId="0" fillId="0" borderId="10" xfId="0" applyBorder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3" fontId="0" fillId="0" borderId="13" xfId="0" applyNumberFormat="1" applyBorder="1"/>
    <xf numFmtId="3" fontId="0" fillId="0" borderId="10" xfId="0" applyNumberFormat="1" applyBorder="1"/>
    <xf numFmtId="3" fontId="0" fillId="0" borderId="1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5" xfId="0" applyNumberFormat="1" applyBorder="1"/>
    <xf numFmtId="0" fontId="0" fillId="0" borderId="14" xfId="0" applyBorder="1"/>
    <xf numFmtId="0" fontId="0" fillId="0" borderId="16" xfId="0" applyBorder="1"/>
    <xf numFmtId="3" fontId="0" fillId="0" borderId="17" xfId="0" applyNumberFormat="1" applyBorder="1"/>
    <xf numFmtId="0" fontId="12" fillId="0" borderId="0" xfId="5" applyFont="1" applyBorder="1" applyAlignment="1">
      <alignment horizontal="center"/>
    </xf>
    <xf numFmtId="187" fontId="3" fillId="0" borderId="0" xfId="3" applyFont="1" applyBorder="1" applyAlignment="1">
      <alignment horizontal="center"/>
    </xf>
    <xf numFmtId="187" fontId="3" fillId="0" borderId="0" xfId="5" applyNumberFormat="1" applyFont="1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6" fillId="0" borderId="0" xfId="0" applyFont="1"/>
    <xf numFmtId="0" fontId="0" fillId="0" borderId="10" xfId="0" applyNumberFormat="1" applyBorder="1"/>
    <xf numFmtId="0" fontId="0" fillId="0" borderId="14" xfId="0" applyNumberFormat="1" applyBorder="1"/>
    <xf numFmtId="0" fontId="0" fillId="0" borderId="11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7" xfId="0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1" fontId="0" fillId="0" borderId="0" xfId="3" applyNumberFormat="1" applyFont="1"/>
    <xf numFmtId="1" fontId="0" fillId="0" borderId="0" xfId="0" applyNumberFormat="1"/>
    <xf numFmtId="0" fontId="7" fillId="5" borderId="0" xfId="0" applyFont="1" applyFill="1"/>
    <xf numFmtId="3" fontId="7" fillId="5" borderId="0" xfId="0" applyNumberFormat="1" applyFont="1" applyFill="1"/>
    <xf numFmtId="3" fontId="0" fillId="0" borderId="7" xfId="0" applyNumberFormat="1" applyBorder="1"/>
    <xf numFmtId="189" fontId="8" fillId="0" borderId="0" xfId="0" applyNumberFormat="1" applyFont="1"/>
    <xf numFmtId="0" fontId="8" fillId="0" borderId="0" xfId="0" applyFont="1"/>
    <xf numFmtId="3" fontId="8" fillId="0" borderId="0" xfId="0" applyNumberFormat="1" applyFont="1" applyFill="1" applyBorder="1"/>
    <xf numFmtId="189" fontId="8" fillId="0" borderId="0" xfId="0" applyNumberFormat="1" applyFont="1" applyFill="1" applyBorder="1"/>
    <xf numFmtId="3" fontId="8" fillId="0" borderId="0" xfId="0" applyNumberFormat="1" applyFont="1"/>
    <xf numFmtId="0" fontId="8" fillId="0" borderId="7" xfId="0" applyFont="1" applyBorder="1"/>
    <xf numFmtId="3" fontId="8" fillId="0" borderId="7" xfId="0" applyNumberFormat="1" applyFont="1" applyBorder="1"/>
    <xf numFmtId="0" fontId="6" fillId="7" borderId="7" xfId="0" applyFont="1" applyFill="1" applyBorder="1"/>
    <xf numFmtId="3" fontId="6" fillId="7" borderId="7" xfId="0" applyNumberFormat="1" applyFont="1" applyFill="1" applyBorder="1"/>
    <xf numFmtId="0" fontId="6" fillId="0" borderId="1" xfId="0" applyFont="1" applyBorder="1" applyAlignment="1">
      <alignment horizontal="center"/>
    </xf>
    <xf numFmtId="189" fontId="6" fillId="0" borderId="0" xfId="0" applyNumberFormat="1" applyFont="1" applyFill="1" applyBorder="1"/>
    <xf numFmtId="0" fontId="3" fillId="0" borderId="3" xfId="5" applyFont="1" applyBorder="1" applyAlignment="1">
      <alignment horizontal="center" vertical="center"/>
    </xf>
    <xf numFmtId="0" fontId="3" fillId="0" borderId="3" xfId="5" applyFont="1" applyBorder="1" applyAlignment="1">
      <alignment horizontal="center"/>
    </xf>
    <xf numFmtId="0" fontId="3" fillId="4" borderId="7" xfId="5" applyFont="1" applyFill="1" applyBorder="1" applyAlignment="1">
      <alignment horizontal="center" vertical="center"/>
    </xf>
    <xf numFmtId="0" fontId="3" fillId="4" borderId="7" xfId="5" applyFont="1" applyFill="1" applyBorder="1" applyAlignment="1">
      <alignment horizontal="center"/>
    </xf>
    <xf numFmtId="0" fontId="3" fillId="4" borderId="7" xfId="5" applyFont="1" applyFill="1" applyBorder="1" applyAlignment="1">
      <alignment horizontal="center" vertical="center" shrinkToFit="1"/>
    </xf>
    <xf numFmtId="0" fontId="3" fillId="4" borderId="7" xfId="5" quotePrefix="1" applyFont="1" applyFill="1" applyBorder="1" applyAlignment="1">
      <alignment horizontal="center" vertical="center"/>
    </xf>
    <xf numFmtId="189" fontId="6" fillId="0" borderId="3" xfId="5" applyNumberFormat="1" applyFont="1" applyFill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shrinkToFit="1"/>
    </xf>
    <xf numFmtId="0" fontId="3" fillId="0" borderId="5" xfId="5" applyFont="1" applyBorder="1" applyAlignment="1">
      <alignment horizontal="center" vertical="center"/>
    </xf>
    <xf numFmtId="0" fontId="3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3" fontId="4" fillId="0" borderId="0" xfId="5" applyNumberFormat="1" applyFont="1" applyFill="1" applyAlignment="1">
      <alignment horizontal="center"/>
    </xf>
    <xf numFmtId="3" fontId="4" fillId="0" borderId="0" xfId="5" applyNumberFormat="1" applyFont="1" applyFill="1" applyAlignment="1">
      <alignment horizontal="right"/>
    </xf>
    <xf numFmtId="4" fontId="4" fillId="0" borderId="0" xfId="5" applyNumberFormat="1" applyFont="1" applyFill="1" applyAlignment="1">
      <alignment horizontal="center"/>
    </xf>
    <xf numFmtId="188" fontId="3" fillId="0" borderId="9" xfId="5" quotePrefix="1" applyNumberFormat="1" applyFont="1" applyBorder="1" applyAlignment="1">
      <alignment horizontal="center" shrinkToFit="1"/>
    </xf>
    <xf numFmtId="9" fontId="4" fillId="0" borderId="24" xfId="6" applyFont="1" applyBorder="1" applyAlignment="1">
      <alignment horizontal="left" vertical="top"/>
    </xf>
    <xf numFmtId="3" fontId="4" fillId="0" borderId="24" xfId="3" quotePrefix="1" applyNumberFormat="1" applyFont="1" applyFill="1" applyBorder="1" applyAlignment="1">
      <alignment horizontal="right" vertical="top" shrinkToFit="1"/>
    </xf>
    <xf numFmtId="0" fontId="4" fillId="0" borderId="24" xfId="5" applyNumberFormat="1" applyFont="1" applyBorder="1" applyAlignment="1">
      <alignment horizontal="center" vertical="top" wrapText="1"/>
    </xf>
    <xf numFmtId="0" fontId="4" fillId="0" borderId="0" xfId="5" applyNumberFormat="1" applyFont="1" applyAlignment="1">
      <alignment horizontal="center" vertical="top" wrapText="1"/>
    </xf>
    <xf numFmtId="190" fontId="4" fillId="0" borderId="7" xfId="5" applyNumberFormat="1" applyFont="1" applyBorder="1" applyAlignment="1">
      <alignment horizontal="center" vertical="top" wrapText="1"/>
    </xf>
    <xf numFmtId="189" fontId="4" fillId="0" borderId="5" xfId="5" applyNumberFormat="1" applyFont="1" applyFill="1" applyBorder="1" applyAlignment="1">
      <alignment horizontal="center" vertical="top" wrapText="1"/>
    </xf>
    <xf numFmtId="0" fontId="4" fillId="0" borderId="0" xfId="5" applyNumberFormat="1" applyFont="1" applyAlignment="1">
      <alignment horizontal="center" vertical="top"/>
    </xf>
    <xf numFmtId="0" fontId="4" fillId="0" borderId="24" xfId="0" applyFont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3" fontId="4" fillId="0" borderId="24" xfId="3" applyNumberFormat="1" applyFont="1" applyFill="1" applyBorder="1" applyAlignment="1">
      <alignment horizontal="right" vertical="top" shrinkToFit="1"/>
    </xf>
    <xf numFmtId="0" fontId="4" fillId="0" borderId="24" xfId="0" quotePrefix="1" applyFont="1" applyFill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3" fontId="4" fillId="0" borderId="24" xfId="3" applyNumberFormat="1" applyFont="1" applyFill="1" applyBorder="1" applyAlignment="1">
      <alignment horizontal="right" vertical="top"/>
    </xf>
    <xf numFmtId="0" fontId="4" fillId="0" borderId="24" xfId="5" applyFont="1" applyBorder="1" applyAlignment="1">
      <alignment horizontal="left" vertical="top"/>
    </xf>
    <xf numFmtId="0" fontId="4" fillId="0" borderId="25" xfId="5" applyFont="1" applyBorder="1" applyAlignment="1">
      <alignment horizontal="left" vertical="top"/>
    </xf>
    <xf numFmtId="3" fontId="4" fillId="0" borderId="25" xfId="3" quotePrefix="1" applyNumberFormat="1" applyFont="1" applyFill="1" applyBorder="1" applyAlignment="1">
      <alignment horizontal="right" vertical="top" shrinkToFit="1"/>
    </xf>
    <xf numFmtId="0" fontId="4" fillId="0" borderId="25" xfId="5" applyNumberFormat="1" applyFont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 wrapText="1"/>
    </xf>
    <xf numFmtId="4" fontId="4" fillId="0" borderId="24" xfId="3" applyNumberFormat="1" applyFont="1" applyFill="1" applyBorder="1" applyAlignment="1">
      <alignment horizontal="right" vertical="top"/>
    </xf>
    <xf numFmtId="4" fontId="3" fillId="2" borderId="7" xfId="0" applyNumberFormat="1" applyFont="1" applyFill="1" applyBorder="1" applyAlignment="1">
      <alignment horizontal="right" vertical="top"/>
    </xf>
    <xf numFmtId="4" fontId="4" fillId="0" borderId="24" xfId="3" quotePrefix="1" applyNumberFormat="1" applyFont="1" applyFill="1" applyBorder="1" applyAlignment="1">
      <alignment horizontal="right" vertical="top" shrinkToFit="1"/>
    </xf>
    <xf numFmtId="4" fontId="4" fillId="0" borderId="25" xfId="3" applyNumberFormat="1" applyFont="1" applyFill="1" applyBorder="1" applyAlignment="1">
      <alignment horizontal="right" vertical="top"/>
    </xf>
    <xf numFmtId="0" fontId="3" fillId="0" borderId="6" xfId="5" applyFont="1" applyFill="1" applyBorder="1" applyAlignment="1">
      <alignment horizontal="center"/>
    </xf>
    <xf numFmtId="3" fontId="3" fillId="0" borderId="6" xfId="5" applyNumberFormat="1" applyFont="1" applyFill="1" applyBorder="1" applyAlignment="1">
      <alignment horizontal="right"/>
    </xf>
    <xf numFmtId="0" fontId="3" fillId="0" borderId="6" xfId="5" applyNumberFormat="1" applyFont="1" applyFill="1" applyBorder="1" applyAlignment="1">
      <alignment horizontal="center"/>
    </xf>
    <xf numFmtId="0" fontId="3" fillId="3" borderId="0" xfId="5" applyFont="1" applyFill="1" applyAlignment="1">
      <alignment horizontal="center"/>
    </xf>
    <xf numFmtId="0" fontId="3" fillId="3" borderId="20" xfId="5" quotePrefix="1" applyFont="1" applyFill="1" applyBorder="1" applyAlignment="1"/>
    <xf numFmtId="0" fontId="3" fillId="3" borderId="21" xfId="5" quotePrefix="1" applyFont="1" applyFill="1" applyBorder="1" applyAlignment="1"/>
    <xf numFmtId="0" fontId="3" fillId="3" borderId="22" xfId="5" quotePrefix="1" applyFont="1" applyFill="1" applyBorder="1" applyAlignment="1"/>
    <xf numFmtId="0" fontId="3" fillId="3" borderId="20" xfId="5" applyFont="1" applyFill="1" applyBorder="1" applyAlignment="1"/>
    <xf numFmtId="0" fontId="3" fillId="3" borderId="22" xfId="5" applyFont="1" applyFill="1" applyBorder="1" applyAlignment="1"/>
    <xf numFmtId="0" fontId="3" fillId="3" borderId="7" xfId="5" applyFont="1" applyFill="1" applyBorder="1" applyAlignment="1">
      <alignment horizontal="center" vertical="center"/>
    </xf>
    <xf numFmtId="0" fontId="3" fillId="3" borderId="7" xfId="5" quotePrefix="1" applyFont="1" applyFill="1" applyBorder="1" applyAlignment="1">
      <alignment horizontal="center"/>
    </xf>
    <xf numFmtId="0" fontId="3" fillId="3" borderId="7" xfId="5" applyFont="1" applyFill="1" applyBorder="1" applyAlignment="1">
      <alignment horizontal="center"/>
    </xf>
    <xf numFmtId="0" fontId="3" fillId="3" borderId="7" xfId="5" applyFont="1" applyFill="1" applyBorder="1" applyAlignment="1">
      <alignment horizontal="center" vertical="center" shrinkToFit="1"/>
    </xf>
    <xf numFmtId="0" fontId="3" fillId="3" borderId="7" xfId="5" quotePrefix="1" applyFont="1" applyFill="1" applyBorder="1" applyAlignment="1">
      <alignment horizontal="center" vertical="center"/>
    </xf>
    <xf numFmtId="0" fontId="3" fillId="2" borderId="3" xfId="5" quotePrefix="1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/>
    </xf>
    <xf numFmtId="0" fontId="3" fillId="2" borderId="3" xfId="5" quotePrefix="1" applyFont="1" applyFill="1" applyBorder="1" applyAlignment="1">
      <alignment horizontal="center"/>
    </xf>
    <xf numFmtId="0" fontId="3" fillId="2" borderId="3" xfId="5" applyFont="1" applyFill="1" applyBorder="1" applyAlignment="1">
      <alignment horizontal="center"/>
    </xf>
    <xf numFmtId="0" fontId="3" fillId="2" borderId="3" xfId="5" applyFont="1" applyFill="1" applyBorder="1" applyAlignment="1">
      <alignment horizontal="center" vertical="center"/>
    </xf>
    <xf numFmtId="188" fontId="3" fillId="2" borderId="3" xfId="5" quotePrefix="1" applyNumberFormat="1" applyFont="1" applyFill="1" applyBorder="1" applyAlignment="1">
      <alignment horizontal="center" shrinkToFit="1"/>
    </xf>
    <xf numFmtId="0" fontId="4" fillId="8" borderId="0" xfId="5" applyNumberFormat="1" applyFont="1" applyFill="1" applyAlignment="1">
      <alignment horizontal="center" vertical="top" wrapText="1"/>
    </xf>
    <xf numFmtId="0" fontId="4" fillId="9" borderId="0" xfId="5" applyNumberFormat="1" applyFont="1" applyFill="1" applyAlignment="1">
      <alignment horizontal="center" vertical="top" wrapText="1"/>
    </xf>
    <xf numFmtId="0" fontId="4" fillId="10" borderId="0" xfId="5" applyNumberFormat="1" applyFont="1" applyFill="1" applyAlignment="1">
      <alignment horizontal="center" vertical="top" wrapText="1"/>
    </xf>
    <xf numFmtId="0" fontId="3" fillId="2" borderId="2" xfId="5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left" vertical="top"/>
    </xf>
    <xf numFmtId="0" fontId="4" fillId="11" borderId="24" xfId="5" applyFont="1" applyFill="1" applyBorder="1" applyAlignment="1">
      <alignment horizontal="left" vertical="top"/>
    </xf>
    <xf numFmtId="187" fontId="0" fillId="0" borderId="7" xfId="3" applyFont="1" applyBorder="1"/>
    <xf numFmtId="187" fontId="7" fillId="0" borderId="0" xfId="0" applyNumberFormat="1" applyFont="1"/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189" fontId="14" fillId="0" borderId="0" xfId="0" applyNumberFormat="1" applyFont="1" applyBorder="1" applyAlignment="1">
      <alignment horizontal="center" wrapText="1"/>
    </xf>
    <xf numFmtId="0" fontId="14" fillId="0" borderId="0" xfId="0" applyFont="1" applyBorder="1"/>
    <xf numFmtId="3" fontId="14" fillId="0" borderId="0" xfId="0" applyNumberFormat="1" applyFont="1" applyFill="1" applyBorder="1"/>
    <xf numFmtId="0" fontId="14" fillId="0" borderId="0" xfId="0" applyFont="1" applyFill="1" applyBorder="1"/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/>
    <xf numFmtId="4" fontId="15" fillId="0" borderId="2" xfId="0" applyNumberFormat="1" applyFont="1" applyBorder="1"/>
    <xf numFmtId="189" fontId="14" fillId="0" borderId="2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indent="1"/>
    </xf>
    <xf numFmtId="3" fontId="14" fillId="0" borderId="3" xfId="0" applyNumberFormat="1" applyFont="1" applyBorder="1"/>
    <xf numFmtId="4" fontId="14" fillId="0" borderId="3" xfId="0" applyNumberFormat="1" applyFont="1" applyBorder="1"/>
    <xf numFmtId="189" fontId="14" fillId="0" borderId="3" xfId="0" applyNumberFormat="1" applyFont="1" applyBorder="1" applyAlignment="1">
      <alignment horizontal="center" wrapText="1"/>
    </xf>
    <xf numFmtId="0" fontId="14" fillId="0" borderId="3" xfId="0" applyFont="1" applyBorder="1"/>
    <xf numFmtId="0" fontId="15" fillId="0" borderId="3" xfId="0" applyFont="1" applyBorder="1" applyAlignment="1">
      <alignment horizontal="center"/>
    </xf>
    <xf numFmtId="3" fontId="15" fillId="0" borderId="3" xfId="0" applyNumberFormat="1" applyFont="1" applyBorder="1"/>
    <xf numFmtId="4" fontId="15" fillId="0" borderId="3" xfId="0" applyNumberFormat="1" applyFont="1" applyBorder="1"/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3" fontId="14" fillId="0" borderId="3" xfId="0" applyNumberFormat="1" applyFont="1" applyBorder="1" applyAlignment="1">
      <alignment vertical="top"/>
    </xf>
    <xf numFmtId="4" fontId="14" fillId="0" borderId="3" xfId="0" applyNumberFormat="1" applyFont="1" applyBorder="1" applyAlignment="1">
      <alignment vertical="top"/>
    </xf>
    <xf numFmtId="189" fontId="14" fillId="0" borderId="3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3" xfId="0" applyFont="1" applyBorder="1" applyAlignment="1">
      <alignment vertical="top"/>
    </xf>
    <xf numFmtId="0" fontId="15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vertical="top"/>
    </xf>
    <xf numFmtId="3" fontId="15" fillId="0" borderId="3" xfId="0" applyNumberFormat="1" applyFont="1" applyBorder="1" applyAlignment="1">
      <alignment vertical="top"/>
    </xf>
    <xf numFmtId="4" fontId="15" fillId="0" borderId="3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4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horizontal="left" vertical="top"/>
    </xf>
    <xf numFmtId="0" fontId="14" fillId="0" borderId="23" xfId="0" applyFont="1" applyBorder="1" applyAlignment="1">
      <alignment vertical="top"/>
    </xf>
    <xf numFmtId="4" fontId="14" fillId="0" borderId="23" xfId="0" applyNumberFormat="1" applyFont="1" applyBorder="1" applyAlignment="1">
      <alignment vertical="top"/>
    </xf>
    <xf numFmtId="3" fontId="14" fillId="0" borderId="23" xfId="0" applyNumberFormat="1" applyFont="1" applyBorder="1" applyAlignment="1">
      <alignment vertical="top"/>
    </xf>
    <xf numFmtId="189" fontId="14" fillId="0" borderId="23" xfId="0" applyNumberFormat="1" applyFont="1" applyBorder="1" applyAlignment="1">
      <alignment horizontal="center" vertical="top" wrapText="1"/>
    </xf>
    <xf numFmtId="0" fontId="14" fillId="0" borderId="22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left" indent="1"/>
    </xf>
    <xf numFmtId="0" fontId="14" fillId="0" borderId="23" xfId="0" applyFont="1" applyBorder="1"/>
    <xf numFmtId="4" fontId="14" fillId="0" borderId="23" xfId="0" applyNumberFormat="1" applyFont="1" applyBorder="1"/>
    <xf numFmtId="3" fontId="14" fillId="0" borderId="23" xfId="0" applyNumberFormat="1" applyFont="1" applyBorder="1"/>
    <xf numFmtId="189" fontId="14" fillId="0" borderId="23" xfId="0" applyNumberFormat="1" applyFont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15" fillId="0" borderId="23" xfId="0" applyFont="1" applyBorder="1"/>
    <xf numFmtId="3" fontId="15" fillId="0" borderId="23" xfId="0" applyNumberFormat="1" applyFont="1" applyBorder="1"/>
    <xf numFmtId="4" fontId="15" fillId="0" borderId="23" xfId="0" applyNumberFormat="1" applyFont="1" applyBorder="1"/>
    <xf numFmtId="189" fontId="14" fillId="0" borderId="0" xfId="0" applyNumberFormat="1" applyFont="1" applyFill="1" applyBorder="1" applyAlignment="1">
      <alignment horizontal="center" wrapText="1"/>
    </xf>
    <xf numFmtId="189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/>
    <xf numFmtId="0" fontId="17" fillId="0" borderId="0" xfId="0" applyFont="1"/>
    <xf numFmtId="3" fontId="17" fillId="0" borderId="0" xfId="0" applyNumberFormat="1" applyFont="1"/>
    <xf numFmtId="18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/>
    <xf numFmtId="3" fontId="4" fillId="0" borderId="0" xfId="5" applyNumberFormat="1" applyFont="1" applyAlignment="1">
      <alignment horizontal="center"/>
    </xf>
    <xf numFmtId="0" fontId="16" fillId="4" borderId="3" xfId="0" applyFont="1" applyFill="1" applyBorder="1" applyAlignment="1">
      <alignment vertical="top"/>
    </xf>
    <xf numFmtId="0" fontId="16" fillId="4" borderId="2" xfId="0" applyFont="1" applyFill="1" applyBorder="1"/>
    <xf numFmtId="0" fontId="16" fillId="4" borderId="3" xfId="0" applyFont="1" applyFill="1" applyBorder="1"/>
    <xf numFmtId="0" fontId="14" fillId="0" borderId="3" xfId="0" applyFont="1" applyBorder="1" applyAlignment="1"/>
    <xf numFmtId="0" fontId="4" fillId="0" borderId="5" xfId="0" applyFont="1" applyBorder="1" applyAlignment="1">
      <alignment horizontal="left" vertical="top"/>
    </xf>
    <xf numFmtId="3" fontId="4" fillId="0" borderId="5" xfId="3" quotePrefix="1" applyNumberFormat="1" applyFont="1" applyFill="1" applyBorder="1" applyAlignment="1">
      <alignment horizontal="right" vertical="top" shrinkToFit="1"/>
    </xf>
    <xf numFmtId="4" fontId="4" fillId="0" borderId="5" xfId="3" applyNumberFormat="1" applyFont="1" applyFill="1" applyBorder="1" applyAlignment="1">
      <alignment horizontal="right" vertical="top"/>
    </xf>
    <xf numFmtId="188" fontId="3" fillId="2" borderId="23" xfId="5" quotePrefix="1" applyNumberFormat="1" applyFont="1" applyFill="1" applyBorder="1" applyAlignment="1">
      <alignment horizontal="center" shrinkToFit="1"/>
    </xf>
    <xf numFmtId="0" fontId="3" fillId="2" borderId="23" xfId="5" applyFont="1" applyFill="1" applyBorder="1" applyAlignment="1">
      <alignment horizontal="center"/>
    </xf>
    <xf numFmtId="0" fontId="9" fillId="0" borderId="0" xfId="5" quotePrefix="1" applyFont="1" applyBorder="1" applyAlignment="1">
      <alignment horizontal="center"/>
    </xf>
    <xf numFmtId="0" fontId="3" fillId="2" borderId="2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29" xfId="5" applyFont="1" applyFill="1" applyBorder="1" applyAlignment="1">
      <alignment horizontal="center" vertical="center"/>
    </xf>
    <xf numFmtId="0" fontId="3" fillId="2" borderId="0" xfId="5" quotePrefix="1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3" fontId="3" fillId="0" borderId="0" xfId="5" applyNumberFormat="1" applyFont="1" applyFill="1" applyBorder="1" applyAlignment="1">
      <alignment horizontal="right"/>
    </xf>
    <xf numFmtId="0" fontId="18" fillId="0" borderId="24" xfId="0" applyFont="1" applyBorder="1"/>
    <xf numFmtId="3" fontId="3" fillId="0" borderId="27" xfId="5" applyNumberFormat="1" applyFont="1" applyFill="1" applyBorder="1" applyAlignment="1">
      <alignment horizontal="center"/>
    </xf>
    <xf numFmtId="4" fontId="3" fillId="0" borderId="24" xfId="5" applyNumberFormat="1" applyFont="1" applyBorder="1" applyAlignment="1">
      <alignment horizontal="center" vertical="center"/>
    </xf>
    <xf numFmtId="4" fontId="3" fillId="0" borderId="30" xfId="5" applyNumberFormat="1" applyFont="1" applyBorder="1" applyAlignment="1">
      <alignment horizontal="center" vertical="center"/>
    </xf>
    <xf numFmtId="4" fontId="3" fillId="0" borderId="7" xfId="5" applyNumberFormat="1" applyFont="1" applyBorder="1" applyAlignment="1">
      <alignment horizontal="center" vertical="center"/>
    </xf>
    <xf numFmtId="3" fontId="3" fillId="0" borderId="5" xfId="5" applyNumberFormat="1" applyFont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187" fontId="23" fillId="0" borderId="0" xfId="3" applyFont="1" applyBorder="1" applyAlignment="1">
      <alignment horizontal="center" vertical="center"/>
    </xf>
    <xf numFmtId="0" fontId="3" fillId="2" borderId="34" xfId="5" applyFont="1" applyFill="1" applyBorder="1" applyAlignment="1">
      <alignment horizontal="center"/>
    </xf>
    <xf numFmtId="0" fontId="3" fillId="2" borderId="34" xfId="5" quotePrefix="1" applyFont="1" applyFill="1" applyBorder="1" applyAlignment="1">
      <alignment horizontal="center" vertical="center"/>
    </xf>
    <xf numFmtId="0" fontId="3" fillId="2" borderId="2" xfId="5" quotePrefix="1" applyFont="1" applyFill="1" applyBorder="1" applyAlignment="1">
      <alignment horizontal="center" vertical="center"/>
    </xf>
    <xf numFmtId="187" fontId="22" fillId="0" borderId="0" xfId="3" applyFont="1" applyBorder="1" applyAlignment="1">
      <alignment horizontal="right"/>
    </xf>
    <xf numFmtId="188" fontId="3" fillId="2" borderId="34" xfId="5" quotePrefix="1" applyNumberFormat="1" applyFont="1" applyFill="1" applyBorder="1" applyAlignment="1">
      <alignment horizontal="center" shrinkToFit="1"/>
    </xf>
    <xf numFmtId="0" fontId="3" fillId="2" borderId="34" xfId="5" applyFont="1" applyFill="1" applyBorder="1" applyAlignment="1">
      <alignment horizontal="center" vertical="center"/>
    </xf>
    <xf numFmtId="3" fontId="4" fillId="0" borderId="24" xfId="3" quotePrefix="1" applyNumberFormat="1" applyFont="1" applyFill="1" applyBorder="1" applyAlignment="1">
      <alignment horizontal="center" vertical="top" shrinkToFit="1"/>
    </xf>
    <xf numFmtId="0" fontId="3" fillId="0" borderId="24" xfId="5" applyFont="1" applyBorder="1" applyAlignment="1">
      <alignment horizontal="center" vertical="center"/>
    </xf>
    <xf numFmtId="3" fontId="4" fillId="0" borderId="30" xfId="3" quotePrefix="1" applyNumberFormat="1" applyFont="1" applyFill="1" applyBorder="1" applyAlignment="1">
      <alignment horizontal="center" vertical="top" shrinkToFit="1"/>
    </xf>
    <xf numFmtId="0" fontId="18" fillId="0" borderId="30" xfId="0" applyFont="1" applyBorder="1"/>
    <xf numFmtId="0" fontId="4" fillId="0" borderId="30" xfId="0" applyFont="1" applyBorder="1" applyAlignment="1">
      <alignment horizontal="left" vertical="top"/>
    </xf>
    <xf numFmtId="4" fontId="4" fillId="0" borderId="30" xfId="3" applyNumberFormat="1" applyFont="1" applyFill="1" applyBorder="1" applyAlignment="1">
      <alignment horizontal="right" vertical="top"/>
    </xf>
    <xf numFmtId="0" fontId="3" fillId="0" borderId="30" xfId="5" applyFont="1" applyBorder="1" applyAlignment="1">
      <alignment horizontal="center" vertical="center"/>
    </xf>
    <xf numFmtId="4" fontId="3" fillId="0" borderId="22" xfId="5" applyNumberFormat="1" applyFont="1" applyFill="1" applyBorder="1" applyAlignment="1">
      <alignment horizontal="center"/>
    </xf>
    <xf numFmtId="3" fontId="3" fillId="0" borderId="7" xfId="5" applyNumberFormat="1" applyFont="1" applyFill="1" applyBorder="1" applyAlignment="1">
      <alignment horizontal="right"/>
    </xf>
    <xf numFmtId="0" fontId="3" fillId="2" borderId="29" xfId="5" quotePrefix="1" applyFont="1" applyFill="1" applyBorder="1" applyAlignment="1">
      <alignment horizontal="center"/>
    </xf>
    <xf numFmtId="0" fontId="3" fillId="2" borderId="32" xfId="5" quotePrefix="1" applyFont="1" applyFill="1" applyBorder="1" applyAlignment="1">
      <alignment horizontal="center"/>
    </xf>
    <xf numFmtId="0" fontId="3" fillId="2" borderId="8" xfId="5" quotePrefix="1" applyFont="1" applyFill="1" applyBorder="1" applyAlignment="1">
      <alignment horizontal="center"/>
    </xf>
    <xf numFmtId="0" fontId="3" fillId="2" borderId="8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/>
    </xf>
    <xf numFmtId="0" fontId="3" fillId="2" borderId="31" xfId="5" applyFont="1" applyFill="1" applyBorder="1" applyAlignment="1">
      <alignment horizontal="center" vertical="center"/>
    </xf>
    <xf numFmtId="0" fontId="6" fillId="0" borderId="0" xfId="5" quotePrefix="1" applyFont="1" applyBorder="1" applyAlignment="1">
      <alignment horizontal="center"/>
    </xf>
    <xf numFmtId="0" fontId="3" fillId="2" borderId="33" xfId="5" quotePrefix="1" applyFont="1" applyFill="1" applyBorder="1" applyAlignment="1">
      <alignment horizontal="center"/>
    </xf>
    <xf numFmtId="0" fontId="3" fillId="2" borderId="1" xfId="5" quotePrefix="1" applyFont="1" applyFill="1" applyBorder="1" applyAlignment="1">
      <alignment horizontal="center"/>
    </xf>
    <xf numFmtId="0" fontId="3" fillId="2" borderId="31" xfId="5" quotePrefix="1" applyFont="1" applyFill="1" applyBorder="1" applyAlignment="1">
      <alignment horizontal="center"/>
    </xf>
    <xf numFmtId="3" fontId="3" fillId="0" borderId="20" xfId="5" applyNumberFormat="1" applyFont="1" applyFill="1" applyBorder="1" applyAlignment="1">
      <alignment horizontal="center"/>
    </xf>
    <xf numFmtId="3" fontId="3" fillId="0" borderId="21" xfId="5" applyNumberFormat="1" applyFont="1" applyFill="1" applyBorder="1" applyAlignment="1">
      <alignment horizontal="center"/>
    </xf>
    <xf numFmtId="3" fontId="3" fillId="0" borderId="22" xfId="5" applyNumberFormat="1" applyFont="1" applyFill="1" applyBorder="1" applyAlignment="1">
      <alignment horizontal="center"/>
    </xf>
    <xf numFmtId="0" fontId="3" fillId="2" borderId="20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3" fontId="3" fillId="0" borderId="26" xfId="5" applyNumberFormat="1" applyFont="1" applyFill="1" applyBorder="1" applyAlignment="1">
      <alignment horizontal="center"/>
    </xf>
    <xf numFmtId="3" fontId="3" fillId="0" borderId="28" xfId="5" applyNumberFormat="1" applyFont="1" applyFill="1" applyBorder="1" applyAlignment="1">
      <alignment horizontal="center"/>
    </xf>
    <xf numFmtId="3" fontId="3" fillId="0" borderId="27" xfId="5" applyNumberFormat="1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0" borderId="0" xfId="5" quotePrefix="1" applyFont="1" applyBorder="1" applyAlignment="1">
      <alignment horizontal="center"/>
    </xf>
    <xf numFmtId="0" fontId="3" fillId="2" borderId="20" xfId="5" quotePrefix="1" applyFont="1" applyFill="1" applyBorder="1" applyAlignment="1">
      <alignment horizontal="center"/>
    </xf>
    <xf numFmtId="0" fontId="3" fillId="2" borderId="21" xfId="5" quotePrefix="1" applyFont="1" applyFill="1" applyBorder="1" applyAlignment="1">
      <alignment horizontal="center"/>
    </xf>
    <xf numFmtId="0" fontId="3" fillId="2" borderId="22" xfId="5" quotePrefix="1" applyFont="1" applyFill="1" applyBorder="1" applyAlignment="1">
      <alignment horizontal="center"/>
    </xf>
    <xf numFmtId="189" fontId="6" fillId="2" borderId="2" xfId="5" applyNumberFormat="1" applyFont="1" applyFill="1" applyBorder="1" applyAlignment="1">
      <alignment horizontal="center" vertical="center" wrapText="1"/>
    </xf>
    <xf numFmtId="189" fontId="6" fillId="2" borderId="3" xfId="5" applyNumberFormat="1" applyFont="1" applyFill="1" applyBorder="1" applyAlignment="1">
      <alignment horizontal="center" vertical="center" wrapText="1"/>
    </xf>
    <xf numFmtId="189" fontId="6" fillId="2" borderId="23" xfId="5" applyNumberFormat="1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shrinkToFit="1"/>
    </xf>
    <xf numFmtId="0" fontId="3" fillId="2" borderId="5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wrapText="1" shrinkToFit="1"/>
    </xf>
    <xf numFmtId="4" fontId="15" fillId="6" borderId="2" xfId="5" applyNumberFormat="1" applyFont="1" applyFill="1" applyBorder="1" applyAlignment="1">
      <alignment horizontal="center" vertical="center"/>
    </xf>
    <xf numFmtId="4" fontId="15" fillId="6" borderId="23" xfId="5" applyNumberFormat="1" applyFont="1" applyFill="1" applyBorder="1" applyAlignment="1">
      <alignment horizontal="center" vertical="center"/>
    </xf>
    <xf numFmtId="189" fontId="6" fillId="6" borderId="2" xfId="5" applyNumberFormat="1" applyFont="1" applyFill="1" applyBorder="1" applyAlignment="1">
      <alignment horizontal="center" vertical="center" wrapText="1"/>
    </xf>
    <xf numFmtId="189" fontId="6" fillId="6" borderId="3" xfId="5" applyNumberFormat="1" applyFont="1" applyFill="1" applyBorder="1" applyAlignment="1">
      <alignment horizontal="center" vertical="center" wrapText="1"/>
    </xf>
    <xf numFmtId="189" fontId="6" fillId="6" borderId="23" xfId="5" applyNumberFormat="1" applyFont="1" applyFill="1" applyBorder="1" applyAlignment="1">
      <alignment horizontal="center" vertical="center" wrapText="1"/>
    </xf>
    <xf numFmtId="3" fontId="15" fillId="6" borderId="2" xfId="5" applyNumberFormat="1" applyFont="1" applyFill="1" applyBorder="1" applyAlignment="1">
      <alignment horizontal="center" vertical="center"/>
    </xf>
    <xf numFmtId="3" fontId="15" fillId="6" borderId="23" xfId="5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" xfId="5" applyFont="1" applyFill="1" applyBorder="1" applyAlignment="1">
      <alignment horizontal="center" vertical="center"/>
    </xf>
    <xf numFmtId="0" fontId="15" fillId="6" borderId="3" xfId="5" applyFont="1" applyFill="1" applyBorder="1" applyAlignment="1">
      <alignment horizontal="center" vertical="center"/>
    </xf>
    <xf numFmtId="0" fontId="15" fillId="6" borderId="23" xfId="5" applyFont="1" applyFill="1" applyBorder="1" applyAlignment="1">
      <alignment horizontal="center" vertical="center"/>
    </xf>
    <xf numFmtId="4" fontId="15" fillId="6" borderId="20" xfId="5" quotePrefix="1" applyNumberFormat="1" applyFont="1" applyFill="1" applyBorder="1" applyAlignment="1">
      <alignment horizontal="center" vertical="center"/>
    </xf>
    <xf numFmtId="4" fontId="15" fillId="6" borderId="21" xfId="5" quotePrefix="1" applyNumberFormat="1" applyFont="1" applyFill="1" applyBorder="1" applyAlignment="1">
      <alignment horizontal="center" vertical="center"/>
    </xf>
    <xf numFmtId="4" fontId="15" fillId="6" borderId="22" xfId="5" quotePrefix="1" applyNumberFormat="1" applyFont="1" applyFill="1" applyBorder="1" applyAlignment="1">
      <alignment horizontal="center" vertical="center"/>
    </xf>
    <xf numFmtId="3" fontId="15" fillId="6" borderId="20" xfId="5" quotePrefix="1" applyNumberFormat="1" applyFont="1" applyFill="1" applyBorder="1" applyAlignment="1">
      <alignment horizontal="center" vertical="center"/>
    </xf>
    <xf numFmtId="3" fontId="15" fillId="6" borderId="21" xfId="5" quotePrefix="1" applyNumberFormat="1" applyFont="1" applyFill="1" applyBorder="1" applyAlignment="1">
      <alignment horizontal="center" vertical="center"/>
    </xf>
    <xf numFmtId="3" fontId="15" fillId="6" borderId="22" xfId="5" quotePrefix="1" applyNumberFormat="1" applyFont="1" applyFill="1" applyBorder="1" applyAlignment="1">
      <alignment horizontal="center" vertical="center"/>
    </xf>
    <xf numFmtId="3" fontId="15" fillId="6" borderId="2" xfId="5" applyNumberFormat="1" applyFont="1" applyFill="1" applyBorder="1" applyAlignment="1">
      <alignment horizontal="center" vertical="center" shrinkToFit="1"/>
    </xf>
    <xf numFmtId="3" fontId="15" fillId="6" borderId="23" xfId="5" applyNumberFormat="1" applyFont="1" applyFill="1" applyBorder="1" applyAlignment="1">
      <alignment horizontal="center" vertical="center" shrinkToFit="1"/>
    </xf>
    <xf numFmtId="4" fontId="15" fillId="6" borderId="2" xfId="5" quotePrefix="1" applyNumberFormat="1" applyFont="1" applyFill="1" applyBorder="1" applyAlignment="1">
      <alignment horizontal="center" vertical="center"/>
    </xf>
    <xf numFmtId="4" fontId="15" fillId="6" borderId="23" xfId="5" quotePrefix="1" applyNumberFormat="1" applyFont="1" applyFill="1" applyBorder="1" applyAlignment="1">
      <alignment horizontal="center" vertical="center"/>
    </xf>
    <xf numFmtId="189" fontId="6" fillId="0" borderId="0" xfId="5" applyNumberFormat="1" applyFont="1" applyFill="1" applyBorder="1" applyAlignment="1">
      <alignment horizontal="center" vertical="center"/>
    </xf>
    <xf numFmtId="4" fontId="6" fillId="6" borderId="7" xfId="5" applyNumberFormat="1" applyFont="1" applyFill="1" applyBorder="1" applyAlignment="1">
      <alignment horizontal="center" vertical="center"/>
    </xf>
    <xf numFmtId="4" fontId="6" fillId="6" borderId="7" xfId="5" quotePrefix="1" applyNumberFormat="1" applyFont="1" applyFill="1" applyBorder="1" applyAlignment="1">
      <alignment horizontal="center" vertical="center"/>
    </xf>
    <xf numFmtId="3" fontId="6" fillId="6" borderId="7" xfId="5" applyNumberFormat="1" applyFont="1" applyFill="1" applyBorder="1" applyAlignment="1">
      <alignment horizontal="center" vertical="center" shrinkToFit="1"/>
    </xf>
    <xf numFmtId="3" fontId="6" fillId="6" borderId="7" xfId="5" applyNumberFormat="1" applyFont="1" applyFill="1" applyBorder="1" applyAlignment="1">
      <alignment horizontal="center" vertical="center"/>
    </xf>
    <xf numFmtId="189" fontId="6" fillId="0" borderId="0" xfId="5" quotePrefix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6" fillId="6" borderId="7" xfId="5" applyFont="1" applyFill="1" applyBorder="1" applyAlignment="1">
      <alignment horizontal="center" vertical="center"/>
    </xf>
    <xf numFmtId="3" fontId="6" fillId="6" borderId="7" xfId="5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9">
    <cellStyle name="Comma 2" xfId="1"/>
    <cellStyle name="Comma 5" xfId="7"/>
    <cellStyle name="Normal 2" xfId="2"/>
    <cellStyle name="Normal 5 2" xfId="8"/>
    <cellStyle name="เครื่องหมายจุลภาค" xfId="3" builtinId="3"/>
    <cellStyle name="ปกติ" xfId="0" builtinId="0"/>
    <cellStyle name="ปกติ 2" xfId="4"/>
    <cellStyle name="ปกติ_dry-form 2552-53" xfId="5"/>
    <cellStyle name="เปอร์เซ็นต์" xfId="6" builtinId="5"/>
  </cellStyles>
  <dxfs count="19"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WR_WORK\2562.05.01%20-%20&#3585;&#3634;&#3619;&#3610;&#3619;&#3636;&#3627;&#3634;&#3619;&#3592;&#3633;&#3604;&#3585;&#3634;&#3619;&#3607;&#3619;&#3633;&#3614;&#3618;&#3634;&#3585;&#3619;&#3609;&#3657;&#3635;&#3594;&#3656;&#3623;&#3591;&#3620;&#3604;&#3641;&#3613;&#3609;%20&#3611;&#3637;%202562\&#3627;&#3609;&#3633;&#3591;&#3626;&#3639;&#3629;\&#3648;&#3629;&#3585;&#3626;&#3634;&#3619;&#3649;&#3609;&#3610;%201\2562.03.29%20&#3649;&#3612;&#3609;&#3585;&#3634;&#3619;&#3592;&#3633;&#3604;&#3626;&#3619;&#3619;&#3607;&#3619;&#3633;&#3614;&#3618;&#3634;&#3585;&#3619;&#3609;&#3657;&#3635;&#3620;&#3604;&#3641;&#3613;&#3609;&#3651;&#3609;&#3648;&#3586;&#3605;&#3594;&#3621;&#3611;&#3619;&#3632;&#3607;&#3634;&#3609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WR_WORK\2562.05.01%20-%20&#3585;&#3634;&#3619;&#3610;&#3619;&#3636;&#3627;&#3634;&#3619;&#3592;&#3633;&#3604;&#3585;&#3634;&#3619;&#3607;&#3619;&#3633;&#3614;&#3618;&#3634;&#3585;&#3619;&#3609;&#3657;&#3635;&#3594;&#3656;&#3623;&#3591;&#3620;&#3604;&#3641;&#3613;&#3609;%20&#3611;&#3637;%202562\&#3627;&#3609;&#3633;&#3591;&#3626;&#3639;&#3629;\&#3648;&#3629;&#3585;&#3626;&#3634;&#3619;&#3649;&#3609;&#3610;%201\2562.03.29%20&#3649;&#3612;&#3609;&#3585;&#3634;&#3619;&#3592;&#3633;&#3604;&#3626;&#3619;&#3619;&#3607;&#3619;&#3633;&#3614;&#3618;&#3634;&#3585;&#3619;&#3609;&#3657;&#3635;&#3620;&#3604;&#3641;&#3613;&#3609;&#3651;&#3609;&#3648;&#3586;&#3605;&#3594;&#3621;&#3611;&#3619;&#3632;&#3607;&#3634;&#3609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WR_WORK\2562.05.01%20-%20&#3585;&#3634;&#3619;&#3610;&#3619;&#3636;&#3627;&#3634;&#3619;&#3592;&#3633;&#3604;&#3585;&#3634;&#3619;&#3607;&#3619;&#3633;&#3614;&#3618;&#3634;&#3585;&#3619;&#3609;&#3657;&#3635;&#3594;&#3656;&#3623;&#3591;&#3620;&#3604;&#3641;&#3613;&#3609;%20&#3611;&#3637;%202562\&#3627;&#3609;&#3633;&#3591;&#3626;&#3639;&#3629;\&#3648;&#3629;&#3585;&#3626;&#3634;&#3619;&#3649;&#3609;&#3610;%201\2562.03.29%20&#3649;&#3612;&#3609;&#3585;&#3634;&#3619;&#3592;&#3633;&#3604;&#3626;&#3619;&#3619;&#3607;&#3619;&#3633;&#3614;&#3618;&#3634;&#3585;&#3619;&#3609;&#3657;&#3635;&#3620;&#3604;&#3641;&#3613;&#3609;&#3651;&#3609;&#3648;&#3586;&#3605;&#3594;&#3621;&#3611;&#3619;&#3632;&#3607;&#3634;&#3609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er11" refreshedDate="42822.508390856485" createdVersion="1" refreshedVersion="4" recordCount="50" upgradeOnRefresh="1">
  <cacheSource type="worksheet">
    <worksheetSource ref="A4:U54" sheet="เจ้าพระยา" r:id="rId2"/>
  </cacheSource>
  <cacheFields count="21">
    <cacheField name="จังหวัด" numFmtId="0">
      <sharedItems containsBlank="1" containsMixedTypes="1" containsNumber="1" containsInteger="1" minValue="0" maxValue="0"/>
    </cacheField>
    <cacheField name="สชป./โครงการฯ" numFmtId="0">
      <sharedItems/>
    </cacheField>
    <cacheField name="พื้นที่ ชป. (ไร่)" numFmtId="0">
      <sharedItems containsString="0" containsBlank="1" containsNumber="1" minValue="0" maxValue="2452474.12" count="47">
        <n v="129696"/>
        <n v="122078"/>
        <n v="95750"/>
        <n v="223813"/>
        <n v="168125"/>
        <n v="201688"/>
        <n v="160000"/>
        <n v="290000"/>
        <n v="1391150"/>
        <m/>
        <n v="967490"/>
        <n v="61040"/>
        <n v="550688"/>
        <n v="1579218"/>
        <n v="251375"/>
        <n v="281188"/>
        <n v="212750"/>
        <n v="162875"/>
        <n v="402687.5"/>
        <n v="143250"/>
        <n v="206750"/>
        <n v="199937.5"/>
        <n v="125375"/>
        <n v="126562.5"/>
        <n v="2112750.5"/>
        <n v="384062.5"/>
        <n v="382062.5"/>
        <n v="199000"/>
        <n v="50724.12"/>
        <n v="291500"/>
        <n v="499125"/>
        <n v="242000"/>
        <n v="404000"/>
        <n v="2452474.12"/>
        <n v="59264"/>
        <n v="1992"/>
        <n v="0"/>
        <n v="104688"/>
        <n v="164625"/>
        <n v="304875"/>
        <n v="135188"/>
        <n v="330063"/>
        <n v="329063"/>
        <n v="454312.5"/>
        <n v="184062.5"/>
        <n v="180875"/>
        <n v="2249008"/>
      </sharedItems>
    </cacheField>
    <cacheField name="เกษตร" numFmtId="0">
      <sharedItems containsString="0" containsBlank="1" containsNumber="1" minValue="0" maxValue="2584.7466261953077"/>
    </cacheField>
    <cacheField name="อุปโภค-" numFmtId="0">
      <sharedItems containsString="0" containsBlank="1" containsNumber="1" minValue="0" maxValue="200.08228571428575"/>
    </cacheField>
    <cacheField name="อุตสาห-" numFmtId="0">
      <sharedItems containsString="0" containsBlank="1" containsNumber="1" minValue="0" maxValue="14.848000000000001"/>
    </cacheField>
    <cacheField name="ระบบ" numFmtId="0">
      <sharedItems containsString="0" containsBlank="1" containsNumber="1" minValue="0" maxValue="181.56"/>
    </cacheField>
    <cacheField name="อื่นๆ" numFmtId="0">
      <sharedItems containsString="0" containsBlank="1" containsNumber="1" minValue="0" maxValue="255.46856303758275"/>
    </cacheField>
    <cacheField name="รวม" numFmtId="0">
      <sharedItems containsString="0" containsBlank="1" containsNumber="1" minValue="29.879226406583967" maxValue="2743.2036261953076"/>
    </cacheField>
    <cacheField name="ข้าวนาปี" numFmtId="0">
      <sharedItems containsString="0" containsBlank="1" containsNumber="1" minValue="0" maxValue="1947791"/>
    </cacheField>
    <cacheField name="พืชไร่" numFmtId="0">
      <sharedItems containsString="0" containsBlank="1" containsNumber="1" containsInteger="1" minValue="0" maxValue="12544"/>
    </cacheField>
    <cacheField name="พืชผัก" numFmtId="0">
      <sharedItems containsString="0" containsBlank="1" containsNumber="1" containsInteger="1" minValue="0" maxValue="26103"/>
    </cacheField>
    <cacheField name="อ้อย" numFmtId="0">
      <sharedItems containsString="0" containsBlank="1" containsNumber="1" containsInteger="1" minValue="0" maxValue="302644"/>
    </cacheField>
    <cacheField name="ไม้ผล" numFmtId="0">
      <sharedItems containsString="0" containsBlank="1" containsNumber="1" containsInteger="1" minValue="0" maxValue="119112"/>
    </cacheField>
    <cacheField name="ไม้ยืนต้น" numFmtId="0">
      <sharedItems containsString="0" containsBlank="1" containsNumber="1" minValue="0" maxValue="17059"/>
    </cacheField>
    <cacheField name="บ่อปลา" numFmtId="0">
      <sharedItems containsString="0" containsBlank="1" containsNumber="1" containsInteger="1" minValue="0" maxValue="227454"/>
    </cacheField>
    <cacheField name="บ่อกุ้ง" numFmtId="0">
      <sharedItems containsString="0" containsBlank="1" containsNumber="1" containsInteger="1" minValue="0" maxValue="113781"/>
    </cacheField>
    <cacheField name="อื่นๆ2" numFmtId="0">
      <sharedItems containsString="0" containsBlank="1" containsNumber="1" minValue="0" maxValue="48768"/>
    </cacheField>
    <cacheField name="รวม2" numFmtId="0">
      <sharedItems containsString="0" containsBlank="1" containsNumber="1" minValue="0" maxValue="2122238"/>
    </cacheField>
    <cacheField name="แนะ" numFmtId="0">
      <sharedItems containsBlank="1"/>
    </cacheField>
    <cacheField name="ภาค" numFmtId="0">
      <sharedItems containsBlank="1" count="6">
        <s v="เหนือ"/>
        <s v="กลาง"/>
        <e v="#N/A"/>
        <s v="ตะวันออก"/>
        <s v="ตะวันตก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uter11" refreshedDate="42822.517608564813" createdVersion="1" refreshedVersion="4" recordCount="14" upgradeOnRefresh="1">
  <cacheSource type="worksheet">
    <worksheetSource ref="A4:U22" sheet="แม่กลอง" r:id="rId2"/>
  </cacheSource>
  <cacheFields count="21">
    <cacheField name="จังหวัด" numFmtId="0">
      <sharedItems containsBlank="1"/>
    </cacheField>
    <cacheField name="สชป./โครงการฯ" numFmtId="0">
      <sharedItems containsBlank="1"/>
    </cacheField>
    <cacheField name="พื้นที่ ชป. (ไร่)" numFmtId="0">
      <sharedItems containsString="0" containsBlank="1" containsNumber="1" minValue="0" maxValue="2339875.5"/>
    </cacheField>
    <cacheField name="เกษตร" numFmtId="0">
      <sharedItems containsString="0" containsBlank="1" containsNumber="1" minValue="0" maxValue="2831.7240883267159"/>
    </cacheField>
    <cacheField name="อุปโภค-" numFmtId="0">
      <sharedItems containsString="0" containsBlank="1" containsNumber="1" minValue="0" maxValue="423.60930000000002"/>
    </cacheField>
    <cacheField name="อุตสาห-" numFmtId="0">
      <sharedItems containsString="0" containsBlank="1" containsNumber="1" minValue="0" maxValue="2.6"/>
    </cacheField>
    <cacheField name="ระบบ" numFmtId="0">
      <sharedItems containsString="0" containsBlank="1" containsNumber="1" minValue="0" maxValue="497.93"/>
    </cacheField>
    <cacheField name="อื่นๆ" numFmtId="0">
      <sharedItems containsString="0" containsBlank="1" containsNumber="1" containsInteger="1" minValue="0" maxValue="19"/>
    </cacheField>
    <cacheField name="รวม" numFmtId="0">
      <sharedItems containsString="0" containsBlank="1" containsNumber="1" minValue="131" maxValue="3774.8633883267157"/>
    </cacheField>
    <cacheField name="ข้าวนาปี" numFmtId="0">
      <sharedItems containsString="0" containsBlank="1" containsNumber="1" containsInteger="1" minValue="0" maxValue="927846"/>
    </cacheField>
    <cacheField name="พืชไร่" numFmtId="0">
      <sharedItems containsString="0" containsBlank="1" containsNumber="1" containsInteger="1" minValue="0" maxValue="75907"/>
    </cacheField>
    <cacheField name="พืชผัก" numFmtId="0">
      <sharedItems containsString="0" containsBlank="1" containsNumber="1" containsInteger="1" minValue="0" maxValue="118026"/>
    </cacheField>
    <cacheField name="อ้อย" numFmtId="0">
      <sharedItems containsString="0" containsBlank="1" containsNumber="1" containsInteger="1" minValue="0" maxValue="385962"/>
    </cacheField>
    <cacheField name="ไม้ผล" numFmtId="0">
      <sharedItems containsString="0" containsBlank="1" containsNumber="1" containsInteger="1" minValue="0" maxValue="28669"/>
    </cacheField>
    <cacheField name="ไม้ยืนต้น" numFmtId="0">
      <sharedItems containsString="0" containsBlank="1" containsNumber="1" containsInteger="1" minValue="0" maxValue="472576"/>
    </cacheField>
    <cacheField name="บ่อปลา" numFmtId="0">
      <sharedItems containsString="0" containsBlank="1" containsNumber="1" containsInteger="1" minValue="0" maxValue="99527"/>
    </cacheField>
    <cacheField name="บ่อกุ้ง" numFmtId="0">
      <sharedItems containsString="0" containsBlank="1" containsNumber="1" containsInteger="1" minValue="0" maxValue="98523" count="13">
        <n v="0"/>
        <n v="2610"/>
        <n v="3635"/>
        <n v="19680"/>
        <n v="5689"/>
        <n v="485"/>
        <n v="9"/>
        <n v="840"/>
        <n v="3015"/>
        <n v="52630"/>
        <n v="9930"/>
        <n v="98523"/>
        <m/>
      </sharedItems>
    </cacheField>
    <cacheField name="อื่นๆ2" numFmtId="0">
      <sharedItems containsString="0" containsBlank="1" containsNumber="1" containsInteger="1" minValue="0" maxValue="59775"/>
    </cacheField>
    <cacheField name="รวม2" numFmtId="0">
      <sharedItems containsString="0" containsBlank="1" containsNumber="1" containsInteger="1" minValue="0" maxValue="2266811"/>
    </cacheField>
    <cacheField name="แนะนำ" numFmtId="0">
      <sharedItems containsBlank="1"/>
    </cacheField>
    <cacheField name="ภาค" numFmtId="0">
      <sharedItems containsBlank="1" count="3">
        <s v="ตะวันตก"/>
        <s v="กลาง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uter11" refreshedDate="42824.744453703701" createdVersion="1" refreshedVersion="4" recordCount="49" upgradeOnRefresh="1">
  <cacheSource type="worksheet">
    <worksheetSource ref="A4:U53" sheet="เจ้าพระยา" r:id="rId2"/>
  </cacheSource>
  <cacheFields count="21">
    <cacheField name="จังหวัด" numFmtId="0">
      <sharedItems containsBlank="1" count="21">
        <s v="อุตรดิตถ์"/>
        <s v="นครสวรรค์"/>
        <s v="พิษณุโลก"/>
        <s v="พิจิตร"/>
        <m/>
        <s v="กำแพงเพชร"/>
        <s v="ตาก"/>
        <s v="ชัยนาท"/>
        <s v="ลพบุรี"/>
        <s v="สระบุรี"/>
        <s v="สิงห์บุรี"/>
        <s v="พระนครศรีอยุธยา"/>
        <s v="นนทบุรี"/>
        <s v="นครปฐม"/>
        <s v="สมุทรสาคร"/>
        <s v="ปทุมธานี"/>
        <s v="สมุทรปราการ"/>
        <s v="ฉะเชิงเทรา"/>
        <s v="สุพรรณบุรี"/>
        <s v="อ่างทอง"/>
        <e v="#N/A" u="1"/>
      </sharedItems>
    </cacheField>
    <cacheField name="สชป./โครงการฯ" numFmtId="0">
      <sharedItems/>
    </cacheField>
    <cacheField name="พื้นที่ ชป. (ไร่)" numFmtId="0">
      <sharedItems containsString="0" containsBlank="1" containsNumber="1" minValue="0" maxValue="2452474.12"/>
    </cacheField>
    <cacheField name="เกษตร" numFmtId="0">
      <sharedItems containsString="0" containsBlank="1" containsNumber="1" minValue="0" maxValue="2584.7466261953077"/>
    </cacheField>
    <cacheField name="อุปโภค-" numFmtId="0">
      <sharedItems containsString="0" containsBlank="1" containsNumber="1" minValue="0" maxValue="180"/>
    </cacheField>
    <cacheField name="อุตสาห-" numFmtId="0">
      <sharedItems containsString="0" containsBlank="1" containsNumber="1" minValue="0" maxValue="14.848000000000001"/>
    </cacheField>
    <cacheField name="ระบบ" numFmtId="0">
      <sharedItems containsString="0" containsBlank="1" containsNumber="1" minValue="0" maxValue="181.56"/>
    </cacheField>
    <cacheField name="อื่นๆ" numFmtId="0">
      <sharedItems containsString="0" containsBlank="1" containsNumber="1" minValue="0" maxValue="255.46856303758275"/>
    </cacheField>
    <cacheField name="รวม" numFmtId="0">
      <sharedItems containsString="0" containsBlank="1" containsNumber="1" minValue="29.879226406583967" maxValue="2743.2036261953076"/>
    </cacheField>
    <cacheField name="ข้าวนาปี" numFmtId="0">
      <sharedItems containsString="0" containsBlank="1" containsNumber="1" minValue="0" maxValue="1793092"/>
    </cacheField>
    <cacheField name="พืชไร่" numFmtId="0">
      <sharedItems containsString="0" containsBlank="1" containsNumber="1" containsInteger="1" minValue="0" maxValue="12544"/>
    </cacheField>
    <cacheField name="พืชผัก" numFmtId="0">
      <sharedItems containsString="0" containsBlank="1" containsNumber="1" containsInteger="1" minValue="0" maxValue="26103"/>
    </cacheField>
    <cacheField name="อ้อย" numFmtId="0">
      <sharedItems containsString="0" containsBlank="1" containsNumber="1" containsInteger="1" minValue="0" maxValue="302644"/>
    </cacheField>
    <cacheField name="ไม้ผล" numFmtId="0">
      <sharedItems containsString="0" containsBlank="1" containsNumber="1" containsInteger="1" minValue="0" maxValue="119112"/>
    </cacheField>
    <cacheField name="ไม้ยืนต้น" numFmtId="0">
      <sharedItems containsString="0" containsBlank="1" containsNumber="1" minValue="0" maxValue="17059"/>
    </cacheField>
    <cacheField name="บ่อปลา" numFmtId="0">
      <sharedItems containsString="0" containsBlank="1" containsNumber="1" containsInteger="1" minValue="0" maxValue="227454"/>
    </cacheField>
    <cacheField name="บ่อกุ้ง" numFmtId="0">
      <sharedItems containsString="0" containsBlank="1" containsNumber="1" containsInteger="1" minValue="0" maxValue="113781"/>
    </cacheField>
    <cacheField name="อื่นๆ2" numFmtId="0">
      <sharedItems containsString="0" containsBlank="1" containsNumber="1" minValue="0" maxValue="48768"/>
    </cacheField>
    <cacheField name="รวม2" numFmtId="0">
      <sharedItems containsString="0" containsBlank="1" containsNumber="1" minValue="0" maxValue="2075358.4"/>
    </cacheField>
    <cacheField name="แนะ" numFmtId="0">
      <sharedItems containsBlank="1"/>
    </cacheField>
    <cacheField name="ภาค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อุตรดิตถ์"/>
    <s v="โครงการชลประทานอุตรดิตถ์"/>
    <x v="0"/>
    <n v="74.849000000000004"/>
    <n v="0"/>
    <n v="0"/>
    <n v="0"/>
    <n v="0"/>
    <n v="74.849000000000004"/>
    <n v="59266"/>
    <n v="0"/>
    <n v="0"/>
    <n v="0"/>
    <n v="0"/>
    <n v="0"/>
    <n v="0"/>
    <n v="0"/>
    <n v="0"/>
    <n v="59266"/>
    <s v="พื้นที่ดอนเริ่มเมื่อกรมอุตุฯประกาศเข้าสู่ฤดูฝน"/>
    <x v="0"/>
  </r>
  <r>
    <s v="นครสวรรค์"/>
    <s v="โครงการชลประทานนครสวรรค์"/>
    <x v="1"/>
    <n v="133.58000000000001"/>
    <n v="2.9"/>
    <n v="0"/>
    <n v="0.26"/>
    <n v="0.05"/>
    <n v="136.79000000000002"/>
    <n v="113078"/>
    <n v="1000"/>
    <n v="0"/>
    <n v="8000"/>
    <n v="0"/>
    <n v="0"/>
    <n v="0"/>
    <n v="0"/>
    <n v="0"/>
    <n v="122078"/>
    <s v="พื้นที่ดอนเริ่มเมื่อกรมอุตุฯประกาศเข้าสู่ฤดูฝน"/>
    <x v="1"/>
  </r>
  <r>
    <s v="พิษณุโลก"/>
    <s v="โครงการส่งน้ำและบำรุงรักษาเขื่อนนเรศวร"/>
    <x v="2"/>
    <n v="109.8"/>
    <n v="0"/>
    <n v="0"/>
    <n v="0"/>
    <n v="0"/>
    <n v="109.8"/>
    <n v="94514"/>
    <n v="232"/>
    <n v="0"/>
    <n v="0"/>
    <n v="0"/>
    <n v="975.6"/>
    <n v="0"/>
    <n v="0"/>
    <n v="28.13"/>
    <n v="95749.73000000001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x v="0"/>
  </r>
  <r>
    <s v="พิษณุโลก"/>
    <s v="โครงการส่งน้ำและบำรุงรักษาพลายชุมพล"/>
    <x v="3"/>
    <n v="243"/>
    <n v="0"/>
    <n v="0"/>
    <n v="0"/>
    <n v="0"/>
    <n v="243"/>
    <n v="221133"/>
    <n v="0"/>
    <n v="0"/>
    <n v="1200"/>
    <n v="709"/>
    <n v="0"/>
    <n v="771"/>
    <n v="0"/>
    <n v="0"/>
    <n v="223813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x v="0"/>
  </r>
  <r>
    <s v="พิจิตร"/>
    <s v="โครงการส่งน้ำและบำรุงรักษาดงเศรษฐี"/>
    <x v="4"/>
    <n v="193.54"/>
    <n v="0"/>
    <n v="0"/>
    <n v="0"/>
    <n v="0"/>
    <n v="193.54"/>
    <n v="168125"/>
    <n v="0"/>
    <n v="0"/>
    <n v="0"/>
    <n v="0"/>
    <n v="0"/>
    <n v="0"/>
    <n v="0"/>
    <n v="0"/>
    <n v="168125"/>
    <s v="พื้นที่ดอนเริ่มเมื่อกรมอุตุฯประกาศเข้าสู่ฤดูฝน"/>
    <x v="0"/>
  </r>
  <r>
    <s v="พิจิตร"/>
    <s v="โครงการส่งน้ำและบำรุงรักษาท่าบัว"/>
    <x v="5"/>
    <n v="157.94"/>
    <n v="0"/>
    <n v="0"/>
    <n v="0"/>
    <n v="0"/>
    <n v="157.94"/>
    <n v="190318"/>
    <n v="6104"/>
    <n v="13"/>
    <n v="44"/>
    <n v="4960"/>
    <n v="63"/>
    <n v="149"/>
    <n v="0"/>
    <n v="37"/>
    <n v="201688"/>
    <s v="พื้นที่ดอนเริ่มเมื่อกรมอุตุฯประกาศเข้าสู่ฤดูฝน"/>
    <x v="0"/>
  </r>
  <r>
    <s v="พิษณุโลก"/>
    <s v="โครงการส่งน้ำและบำรุงรักษาเขื่อนแควน้อยบำรุงแดน"/>
    <x v="6"/>
    <n v="86.292790624941972"/>
    <n v="0.2669081073516118"/>
    <n v="7.5474015374706716E-2"/>
    <n v="7.9462642147489229"/>
    <n v="255.41856303758274"/>
    <n v="349.99999999999994"/>
    <n v="160000"/>
    <n v="0"/>
    <n v="0"/>
    <n v="0"/>
    <n v="0"/>
    <n v="0"/>
    <n v="0"/>
    <n v="0"/>
    <n v="0"/>
    <n v="160000"/>
    <s v="พื้นที่ดอนเริ่มเมื่อกรมอุตุฯประกาศเข้าสู่ฤดูฝน"/>
    <x v="0"/>
  </r>
  <r>
    <s v="พิษณุโลก"/>
    <s v="โครงการส่งน้ำและบำรุงรักษายมน่าน"/>
    <x v="7"/>
    <n v="224"/>
    <n v="0"/>
    <n v="0"/>
    <n v="0"/>
    <n v="0"/>
    <n v="224"/>
    <n v="290000"/>
    <n v="0"/>
    <n v="0"/>
    <n v="0"/>
    <n v="0"/>
    <n v="0"/>
    <n v="0"/>
    <n v="0"/>
    <n v="0"/>
    <n v="290000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x v="0"/>
  </r>
  <r>
    <n v="0"/>
    <s v="รวม"/>
    <x v="8"/>
    <n v="1223.001790624942"/>
    <n v="3.1669081073516119"/>
    <n v="7.5474015374706716E-2"/>
    <n v="8.2062642147489235"/>
    <n v="255.46856303758275"/>
    <n v="1489.9190000000001"/>
    <n v="1296434"/>
    <n v="7336"/>
    <n v="13"/>
    <n v="9244"/>
    <n v="5669"/>
    <n v="1038.5999999999999"/>
    <n v="920"/>
    <n v="0"/>
    <n v="65.13"/>
    <n v="1320719.73"/>
    <m/>
    <x v="2"/>
  </r>
  <r>
    <n v="0"/>
    <s v="สำนักงานชลประทานที่ 4"/>
    <x v="9"/>
    <m/>
    <m/>
    <m/>
    <m/>
    <m/>
    <m/>
    <m/>
    <m/>
    <m/>
    <m/>
    <m/>
    <m/>
    <m/>
    <m/>
    <m/>
    <m/>
    <m/>
    <x v="2"/>
  </r>
  <r>
    <s v="กำแพงเพชร"/>
    <s v="โครงการชลประทานกำแพงเพชร"/>
    <x v="10"/>
    <n v="936.31999999999994"/>
    <n v="1.6"/>
    <n v="0"/>
    <n v="0"/>
    <n v="0"/>
    <n v="937.92"/>
    <n v="634294"/>
    <n v="3350"/>
    <n v="0"/>
    <n v="216223"/>
    <n v="19784"/>
    <n v="7961"/>
    <n v="0"/>
    <n v="0"/>
    <n v="15711"/>
    <n v="897323"/>
    <s v="พื้นที่ดอนเริ่มเมื่อกรมอุตุฯประกาศเข้าสู่ฤดูฝน"/>
    <x v="0"/>
  </r>
  <r>
    <s v="ตาก"/>
    <s v="โครงการชลประทานตาก"/>
    <x v="11"/>
    <n v="107.095"/>
    <n v="0"/>
    <n v="0"/>
    <n v="0"/>
    <n v="0"/>
    <n v="107.095"/>
    <n v="50000"/>
    <n v="1500"/>
    <n v="500"/>
    <n v="0"/>
    <n v="0"/>
    <n v="8200"/>
    <n v="0"/>
    <n v="0"/>
    <n v="0"/>
    <n v="60200"/>
    <s v="พื้นที่ดอนเริ่มเมื่อกรมอุตุฯประกาศเข้าสู่ฤดูฝน"/>
    <x v="0"/>
  </r>
  <r>
    <s v="กำแพงเพชร"/>
    <s v="โครงการส่งน้ำและบำรุงรักษาท่อทองแดง"/>
    <x v="12"/>
    <n v="404.71199999999999"/>
    <n v="0"/>
    <n v="0"/>
    <n v="0"/>
    <n v="0"/>
    <n v="404.71199999999999"/>
    <n v="345719"/>
    <n v="2460"/>
    <n v="0"/>
    <n v="86421"/>
    <n v="4359"/>
    <n v="0"/>
    <n v="0"/>
    <n v="0"/>
    <n v="0"/>
    <n v="438959"/>
    <s v="พื้นที่ดอนเริ่มเมื่อกรมอุตุฯประกาศเข้าสู่ฤดูฝน"/>
    <x v="0"/>
  </r>
  <r>
    <n v="0"/>
    <s v="รวม"/>
    <x v="13"/>
    <n v="1448.127"/>
    <n v="1.6"/>
    <n v="0"/>
    <n v="0"/>
    <n v="0"/>
    <n v="1449.7269999999999"/>
    <n v="1030013"/>
    <n v="7310"/>
    <n v="500"/>
    <n v="302644"/>
    <n v="24143"/>
    <n v="16161"/>
    <n v="0"/>
    <n v="0"/>
    <n v="15711"/>
    <n v="1396482"/>
    <m/>
    <x v="2"/>
  </r>
  <r>
    <n v="0"/>
    <s v="สำนักงานชลประทานที่ 10"/>
    <x v="9"/>
    <m/>
    <m/>
    <m/>
    <m/>
    <m/>
    <m/>
    <m/>
    <m/>
    <m/>
    <m/>
    <m/>
    <m/>
    <m/>
    <m/>
    <m/>
    <m/>
    <m/>
    <x v="2"/>
  </r>
  <r>
    <s v="นครสวรรค์"/>
    <s v="โครงการส่งน้ำและบำรุงรักษาช่องแค"/>
    <x v="14"/>
    <n v="285.35999999999996"/>
    <n v="1.25"/>
    <n v="0"/>
    <n v="0"/>
    <n v="0"/>
    <n v="286.60999999999996"/>
    <n v="233400"/>
    <n v="0"/>
    <n v="0"/>
    <n v="0"/>
    <n v="2740"/>
    <n v="445"/>
    <n v="740"/>
    <n v="15"/>
    <n v="460"/>
    <n v="237800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ชัยนาท"/>
    <s v="โครงการส่งน้ำและบำรุงรักษามโนรมย์"/>
    <x v="15"/>
    <n v="313.72319999999996"/>
    <n v="1.65"/>
    <n v="0.28999999999999998"/>
    <n v="0"/>
    <n v="0"/>
    <n v="315.66319999999996"/>
    <n v="247500"/>
    <n v="0"/>
    <n v="0"/>
    <n v="9291"/>
    <n v="2347"/>
    <n v="64"/>
    <n v="313"/>
    <n v="0"/>
    <n v="1921"/>
    <n v="261436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ลพบุรี"/>
    <s v="โครงการส่งน้ำและบำรุงรักษาโคกกะเทียม"/>
    <x v="16"/>
    <n v="255.5652"/>
    <n v="5.9"/>
    <n v="0.1"/>
    <n v="0"/>
    <n v="0"/>
    <n v="261.5652"/>
    <n v="209879"/>
    <n v="135"/>
    <n v="280"/>
    <n v="0"/>
    <n v="1293"/>
    <n v="0"/>
    <n v="1163"/>
    <n v="0"/>
    <n v="0"/>
    <n v="212750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ระบุรี"/>
    <s v="โครงการส่งน้ำและบำรุงรักษาเริงราง"/>
    <x v="17"/>
    <n v="207.61199999999997"/>
    <n v="1.641"/>
    <n v="1.27"/>
    <n v="0"/>
    <n v="0"/>
    <n v="210.52299999999997"/>
    <n v="159875"/>
    <n v="3000"/>
    <n v="0"/>
    <n v="0"/>
    <n v="0"/>
    <n v="0"/>
    <n v="0"/>
    <n v="0"/>
    <n v="0"/>
    <n v="162875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ิงห์บุรี"/>
    <s v="โครงการส่งน้ำและบำรุงรักษามหาราช"/>
    <x v="18"/>
    <n v="442.96"/>
    <n v="0"/>
    <n v="0"/>
    <n v="0"/>
    <n v="0"/>
    <n v="442.96"/>
    <n v="395340"/>
    <n v="0"/>
    <n v="0"/>
    <n v="180"/>
    <n v="6008"/>
    <n v="0"/>
    <n v="1159"/>
    <n v="0"/>
    <n v="0"/>
    <n v="402687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ระบุรี"/>
    <s v="โครงการส่งน้ำและบำรุงรักษาคลองเพรียวเสาไห้"/>
    <x v="19"/>
    <n v="162.35999999999999"/>
    <n v="0"/>
    <n v="0"/>
    <n v="0"/>
    <n v="0"/>
    <n v="162.35999999999999"/>
    <n v="135300"/>
    <n v="0"/>
    <n v="0"/>
    <n v="0"/>
    <n v="0"/>
    <n v="0"/>
    <n v="0"/>
    <n v="0"/>
    <n v="0"/>
    <n v="135300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พระนครศรีอยุธยา"/>
    <s v="โครงการส่งน้ำและบำรุงรักษาป่าสักใต้"/>
    <x v="20"/>
    <n v="246.82919999999999"/>
    <n v="2.444"/>
    <n v="13.188000000000001"/>
    <n v="181.56"/>
    <n v="0"/>
    <n v="444.02119999999996"/>
    <n v="128399"/>
    <n v="1081"/>
    <n v="0"/>
    <n v="0"/>
    <n v="28699"/>
    <n v="0"/>
    <n v="1125"/>
    <n v="0"/>
    <n v="46387"/>
    <n v="205691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พระนครศรีอยุธยา"/>
    <s v="โครงการส่งน้ำและบำรุงรักษานครหลวง"/>
    <x v="21"/>
    <n v="131.42999999999998"/>
    <n v="0"/>
    <n v="0"/>
    <n v="0"/>
    <n v="0"/>
    <n v="131.42999999999998"/>
    <n v="108919"/>
    <n v="130"/>
    <n v="40"/>
    <n v="0"/>
    <n v="0"/>
    <n v="0"/>
    <n v="436"/>
    <n v="0"/>
    <n v="0"/>
    <n v="109525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ลพบุรี"/>
    <s v="โครงการส่งน้ำและบำรุงรักษาเขื่อนป่าสักชลสิทธิ์"/>
    <x v="22"/>
    <n v="350"/>
    <n v="0"/>
    <n v="0"/>
    <n v="0"/>
    <n v="0"/>
    <n v="350"/>
    <n v="74480"/>
    <n v="8178"/>
    <n v="3391"/>
    <n v="12548"/>
    <n v="2850"/>
    <n v="3741"/>
    <n v="458"/>
    <n v="0"/>
    <n v="0"/>
    <n v="105646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พระนครศรีอยุธยา"/>
    <s v="โครงการส่งน้ำและบำรุงรักษาบางบาล"/>
    <x v="23"/>
    <n v="120.33239999999999"/>
    <n v="0"/>
    <n v="0"/>
    <n v="0"/>
    <n v="0"/>
    <n v="120.33239999999999"/>
    <n v="100000"/>
    <n v="20"/>
    <n v="35"/>
    <n v="0"/>
    <n v="30"/>
    <n v="20"/>
    <n v="457"/>
    <n v="0"/>
    <n v="0"/>
    <n v="100562"/>
    <s v="พื้นที่ลุ่มต่ำเริ่ม 1 พฤษภาคม, _x000a_พื้นที่ดอนเริ่มเมื่อกรมอุตุฯประกาศเข้าสู่ฤดูฝน"/>
    <x v="1"/>
  </r>
  <r>
    <n v="0"/>
    <s v="รวม"/>
    <x v="24"/>
    <n v="2516.1719999999996"/>
    <n v="12.885000000000002"/>
    <n v="14.848000000000001"/>
    <n v="181.56"/>
    <n v="0"/>
    <n v="2725.4649999999992"/>
    <n v="1793092"/>
    <n v="12544"/>
    <n v="3746"/>
    <n v="22019"/>
    <n v="43967"/>
    <n v="4270"/>
    <n v="5851"/>
    <n v="15"/>
    <n v="48768"/>
    <n v="1934272"/>
    <m/>
    <x v="2"/>
  </r>
  <r>
    <n v="0"/>
    <s v="สำนักงานชลประทานที่ 11"/>
    <x v="9"/>
    <m/>
    <m/>
    <m/>
    <m/>
    <m/>
    <m/>
    <m/>
    <m/>
    <m/>
    <m/>
    <m/>
    <m/>
    <m/>
    <m/>
    <m/>
    <m/>
    <m/>
    <x v="2"/>
  </r>
  <r>
    <s v="พระนครศรีอยุธยา"/>
    <s v="โครงการส่งน้ำและบำรุงรักษาเจ้าเจ็ดบางยี่หน"/>
    <x v="25"/>
    <n v="280.80768901930702"/>
    <n v="0"/>
    <n v="0"/>
    <n v="0"/>
    <n v="0"/>
    <n v="280.80768901930702"/>
    <n v="331770"/>
    <n v="1137"/>
    <n v="1436"/>
    <n v="0"/>
    <n v="7546"/>
    <n v="0"/>
    <n v="4912"/>
    <n v="1192"/>
    <n v="0"/>
    <n v="347993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นนทบุรี"/>
    <s v="โครงการส่งน้ำและบำรุงรักษาพระยาบรรลือ"/>
    <x v="26"/>
    <n v="288"/>
    <n v="0"/>
    <n v="0"/>
    <n v="0"/>
    <n v="0"/>
    <n v="288"/>
    <n v="272457"/>
    <n v="45"/>
    <n v="5427"/>
    <n v="0"/>
    <n v="16349"/>
    <n v="5625"/>
    <n v="4318"/>
    <n v="1420"/>
    <n v="1628"/>
    <n v="307269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นครปฐม"/>
    <s v="โครงการส่งน้ำและบำรุงรักษาพระพิมล"/>
    <x v="27"/>
    <n v="209.42"/>
    <n v="1.47"/>
    <n v="0.18"/>
    <n v="12.887"/>
    <n v="0"/>
    <n v="223.95699999999999"/>
    <n v="122200"/>
    <n v="6270"/>
    <n v="5230"/>
    <n v="0"/>
    <n v="4850"/>
    <n v="3070"/>
    <n v="270"/>
    <n v="57110"/>
    <n v="0"/>
    <n v="199000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มุทรสาคร"/>
    <s v="โครงการส่งน้ำและบำรุงรักษาภาษีเจริญ"/>
    <x v="28"/>
    <n v="19.439999999999998"/>
    <n v="0"/>
    <n v="0.02"/>
    <n v="12.96"/>
    <n v="0"/>
    <n v="32.42"/>
    <n v="11380"/>
    <n v="0"/>
    <n v="1671"/>
    <n v="0"/>
    <n v="13000"/>
    <n v="4342"/>
    <n v="3343"/>
    <n v="188"/>
    <n v="0"/>
    <n v="33924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พระนครศรีอยุธยา"/>
    <s v="โครงการส่งน้ำและบำรุงรักษารังสิตเหนือ"/>
    <x v="29"/>
    <n v="362.65893717600073"/>
    <n v="19"/>
    <n v="0.6"/>
    <n v="2.6999999999999997"/>
    <n v="2.6999999999999997"/>
    <n v="387.65893717600073"/>
    <n v="89750.400000000009"/>
    <n v="3089"/>
    <n v="2517"/>
    <n v="0"/>
    <n v="57343"/>
    <n v="4022"/>
    <n v="2591"/>
    <n v="0"/>
    <n v="12479"/>
    <n v="171791.40000000002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ปทุมธานี"/>
    <s v="โครงการส่งน้ำและบำรุงรักษารังสิตใต้"/>
    <x v="30"/>
    <n v="550.1"/>
    <n v="21.2"/>
    <n v="3.9"/>
    <n v="4"/>
    <n v="0"/>
    <n v="579.20000000000005"/>
    <n v="401721"/>
    <n v="0"/>
    <n v="0"/>
    <n v="0"/>
    <n v="11493"/>
    <n v="0"/>
    <n v="11478"/>
    <n v="175"/>
    <n v="4001"/>
    <n v="428868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มุทรปราการ"/>
    <s v="โครงการส่งน้ำและบำรุงรักษาชลหารพิจิตร"/>
    <x v="31"/>
    <n v="304.32"/>
    <n v="0"/>
    <n v="0.24"/>
    <n v="10.6"/>
    <n v="0"/>
    <n v="315.16000000000003"/>
    <n v="69746"/>
    <n v="0"/>
    <n v="9822"/>
    <n v="0"/>
    <n v="0"/>
    <n v="0"/>
    <n v="99635"/>
    <n v="4700"/>
    <n v="1435"/>
    <n v="185338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ฉะเชิงเทรา"/>
    <s v="โครงการส่งน้ำและบำรุงรักษาพระองค์ไชยานุชิต"/>
    <x v="32"/>
    <n v="570"/>
    <n v="20"/>
    <n v="1"/>
    <n v="45"/>
    <n v="0"/>
    <n v="636"/>
    <n v="234500"/>
    <n v="0"/>
    <n v="0"/>
    <n v="0"/>
    <n v="8531"/>
    <n v="0"/>
    <n v="100907"/>
    <n v="48996"/>
    <n v="8241"/>
    <n v="401175"/>
    <s v="พื้นที่ลุ่มต่ำเริ่ม 1 พฤษภาคม, _x000a_พื้นที่ดอนเริ่มเมื่อกรมอุตุฯประกาศเข้าสู่ฤดูฝน"/>
    <x v="3"/>
  </r>
  <r>
    <n v="0"/>
    <s v="รวม"/>
    <x v="33"/>
    <n v="2584.7466261953077"/>
    <n v="61.67"/>
    <n v="5.94"/>
    <n v="88.146999999999991"/>
    <n v="2.6999999999999997"/>
    <n v="2743.2036261953076"/>
    <n v="1533524.4"/>
    <n v="10541"/>
    <n v="26103"/>
    <n v="0"/>
    <n v="119112"/>
    <n v="17059"/>
    <n v="227454"/>
    <n v="113781"/>
    <n v="27784"/>
    <n v="2075358.4"/>
    <m/>
    <x v="2"/>
  </r>
  <r>
    <n v="0"/>
    <s v="สำนักงานชลประทานที่ 12"/>
    <x v="9"/>
    <m/>
    <m/>
    <m/>
    <m/>
    <m/>
    <m/>
    <m/>
    <m/>
    <m/>
    <m/>
    <m/>
    <m/>
    <m/>
    <m/>
    <m/>
    <m/>
    <m/>
    <x v="2"/>
  </r>
  <r>
    <s v="ชัยนาท"/>
    <s v="โครงการชลประทานชัยนาท"/>
    <x v="34"/>
    <n v="46.27807434048021"/>
    <n v="1.4720000000000011"/>
    <n v="0"/>
    <n v="0"/>
    <n v="0"/>
    <n v="47.750074340480211"/>
    <n v="57695"/>
    <n v="0"/>
    <n v="0"/>
    <n v="0"/>
    <n v="1275"/>
    <n v="0"/>
    <n v="294"/>
    <n v="0"/>
    <n v="0"/>
    <n v="59264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ุพรรณบุรี"/>
    <s v="โครงการชลประทานสุพรรณบุรี"/>
    <x v="35"/>
    <n v="29.879226406583967"/>
    <n v="0"/>
    <n v="0"/>
    <n v="0"/>
    <n v="0"/>
    <n v="29.879226406583967"/>
    <n v="1992"/>
    <n v="0"/>
    <n v="0"/>
    <n v="0"/>
    <n v="0"/>
    <n v="0"/>
    <n v="0"/>
    <n v="0"/>
    <n v="0"/>
    <n v="1992"/>
    <s v="พื้นที่ลุ่มต่ำเริ่ม 1 พฤษภาคม, _x000a_พื้นที่ดอนเริ่มเมื่อกรมอุตุฯประกาศเข้าสู่ฤดูฝน"/>
    <x v="4"/>
  </r>
  <r>
    <s v="ชัยนาท"/>
    <s v="โครงการส่งน้ำและบำรุงรักษาเขื่อนเจ้าพระยา"/>
    <x v="36"/>
    <n v="0"/>
    <n v="180"/>
    <n v="0"/>
    <n v="56"/>
    <n v="0"/>
    <n v="236"/>
    <n v="0"/>
    <n v="0"/>
    <n v="0"/>
    <n v="0"/>
    <n v="0"/>
    <n v="0"/>
    <n v="0"/>
    <n v="0"/>
    <n v="0"/>
    <n v="0"/>
    <s v="-"/>
    <x v="1"/>
  </r>
  <r>
    <s v="ชัยนาท"/>
    <s v="โครงการส่งน้ำและบำรุงรักษาพลเทพ"/>
    <x v="37"/>
    <n v="101.68163190721602"/>
    <n v="2.9440000000000022"/>
    <n v="0"/>
    <n v="0"/>
    <n v="0"/>
    <n v="104.62563190721602"/>
    <n v="103176"/>
    <n v="164"/>
    <n v="0"/>
    <n v="0"/>
    <n v="1348"/>
    <n v="0"/>
    <n v="0"/>
    <n v="0"/>
    <n v="0"/>
    <n v="104688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ชัยนาท"/>
    <s v="โครงการส่งน้ำและบำรุงรักษาท่าโบสถ์"/>
    <x v="38"/>
    <n v="163.024"/>
    <n v="0"/>
    <n v="0"/>
    <n v="0"/>
    <n v="0"/>
    <n v="163.024"/>
    <n v="158529"/>
    <n v="0"/>
    <n v="0"/>
    <n v="1630"/>
    <n v="4225"/>
    <n v="0"/>
    <n v="19"/>
    <n v="82"/>
    <n v="140"/>
    <n v="164625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ุพรรณบุรี"/>
    <s v="โครงการส่งน้ำและบำรุงรักษาสามชุก"/>
    <x v="39"/>
    <n v="304.9303998322024"/>
    <n v="1.4720000000000011"/>
    <n v="0.20239999999999941"/>
    <n v="0"/>
    <n v="0"/>
    <n v="306.60479983220239"/>
    <n v="253306"/>
    <n v="0"/>
    <n v="0"/>
    <n v="19281"/>
    <n v="13618"/>
    <n v="3270"/>
    <n v="6008"/>
    <n v="497"/>
    <n v="8895"/>
    <n v="304875"/>
    <s v="พื้นที่ลุ่มต่ำเริ่ม 1 พฤษภาคม, _x000a_พื้นที่ดอนเริ่มเมื่อกรมอุตุฯประกาศเข้าสู่ฤดูฝน"/>
    <x v="4"/>
  </r>
  <r>
    <s v="สุพรรณบุรี"/>
    <s v="โครงการส่งน้ำและบำรุงรักษาดอนเจดีย์"/>
    <x v="40"/>
    <n v="125.54595255738938"/>
    <n v="1.4720000000000011"/>
    <n v="0"/>
    <n v="0"/>
    <n v="0"/>
    <n v="127.01795255738938"/>
    <n v="121826"/>
    <n v="2462"/>
    <n v="0"/>
    <n v="0"/>
    <n v="9580"/>
    <n v="0"/>
    <n v="160"/>
    <n v="1160"/>
    <n v="0"/>
    <n v="135188"/>
    <s v="พื้นที่ลุ่มต่ำเริ่ม 1 พฤษภาคม, _x000a_พื้นที่ดอนเริ่มเมื่อกรมอุตุฯประกาศเข้าสู่ฤดูฝน"/>
    <x v="4"/>
  </r>
  <r>
    <s v="สุพรรณบุรี"/>
    <s v="โครงการส่งน้ำและบำรุงรักษาโพธิ์พระยา"/>
    <x v="41"/>
    <n v="339.5444885212537"/>
    <n v="0"/>
    <n v="0"/>
    <n v="0"/>
    <n v="75"/>
    <n v="414.5444885212537"/>
    <n v="278685"/>
    <n v="4525"/>
    <n v="0"/>
    <n v="0"/>
    <n v="15029"/>
    <n v="0"/>
    <n v="19458"/>
    <n v="2371"/>
    <n v="0"/>
    <n v="320068"/>
    <s v="พื้นที่ลุ่มต่ำเริ่ม 1 พฤษภาคม, _x000a_พื้นที่ดอนเริ่มเมื่อกรมอุตุฯประกาศเข้าสู่ฤดูฝน"/>
    <x v="4"/>
  </r>
  <r>
    <s v="ชัยนาท"/>
    <s v="โครงการส่งน้ำและบำรุงรักษาบรมธาตุ"/>
    <x v="42"/>
    <n v="286.28899733163121"/>
    <n v="0"/>
    <n v="0"/>
    <n v="0"/>
    <n v="0"/>
    <n v="286.28899733163121"/>
    <n v="290000"/>
    <n v="0"/>
    <n v="0"/>
    <n v="0"/>
    <n v="0"/>
    <n v="0"/>
    <n v="0"/>
    <n v="0"/>
    <n v="0"/>
    <n v="290000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สิงห์บุรี"/>
    <s v="โครงการส่งน้ำและบำรุงรักษาชัณสูตร"/>
    <x v="43"/>
    <n v="425.6537238201434"/>
    <n v="0"/>
    <n v="0"/>
    <n v="0"/>
    <n v="0"/>
    <n v="425.6537238201434"/>
    <n v="391407"/>
    <n v="0"/>
    <n v="0"/>
    <n v="32536"/>
    <n v="7832"/>
    <n v="0"/>
    <n v="2072"/>
    <n v="0"/>
    <n v="0"/>
    <n v="433847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อ่างทอง"/>
    <s v="โครงการส่งน้ำและบำรุงรักษายางมณี"/>
    <x v="44"/>
    <n v="138.99968955694854"/>
    <n v="11.618285714285717"/>
    <n v="0"/>
    <n v="0"/>
    <n v="0"/>
    <n v="150.61797527123426"/>
    <n v="145000"/>
    <n v="0"/>
    <n v="0"/>
    <n v="375"/>
    <n v="7320"/>
    <n v="0"/>
    <n v="2052"/>
    <n v="0"/>
    <n v="0"/>
    <n v="154747"/>
    <s v="พื้นที่ลุ่มต่ำเริ่ม 1 พฤษภาคม, _x000a_พื้นที่ดอนเริ่มเมื่อกรมอุตุฯประกาศเข้าสู่ฤดูฝน"/>
    <x v="1"/>
  </r>
  <r>
    <s v="พระนครศรีอยุธยา"/>
    <s v="โครงการส่งน้ำและบำรุงรักษาผักไห่"/>
    <x v="45"/>
    <n v="176.49513938222105"/>
    <n v="1.1040000000000008"/>
    <n v="0"/>
    <n v="0"/>
    <n v="0"/>
    <n v="177.59913938222107"/>
    <n v="146175"/>
    <n v="291"/>
    <n v="0"/>
    <n v="0"/>
    <n v="0"/>
    <n v="0"/>
    <n v="0"/>
    <n v="6478"/>
    <n v="0"/>
    <n v="152944"/>
    <s v="พื้นที่ลุ่มต่ำเริ่ม 1 พฤษภาคม, _x000a_พื้นที่ดอนเริ่มเมื่อกรมอุตุฯประกาศเข้าสู่ฤดูฝน"/>
    <x v="1"/>
  </r>
  <r>
    <m/>
    <s v="รวม"/>
    <x v="46"/>
    <n v="2138.3213236560696"/>
    <n v="200.08228571428575"/>
    <n v="0.20239999999999941"/>
    <n v="56"/>
    <n v="75"/>
    <n v="2469.6060093703554"/>
    <n v="1947791"/>
    <n v="7442"/>
    <n v="0"/>
    <n v="53822"/>
    <n v="60227"/>
    <n v="3270"/>
    <n v="30063"/>
    <n v="10588"/>
    <n v="9035"/>
    <n v="2122238"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s v="กาญจนบุรี"/>
    <s v="โครงการส่งน้ำและบำรุงรักษาเขื่อนแม่กลอง"/>
    <n v="0"/>
    <n v="0"/>
    <n v="250"/>
    <n v="0"/>
    <n v="300"/>
    <n v="0"/>
    <n v="550"/>
    <n v="0"/>
    <n v="0"/>
    <n v="0"/>
    <n v="0"/>
    <n v="0"/>
    <n v="0"/>
    <n v="0"/>
    <x v="0"/>
    <n v="0"/>
    <n v="0"/>
    <s v="-"/>
    <x v="0"/>
  </r>
  <r>
    <s v="กาญจนบุรี"/>
    <s v="โครงการส่งน้ำและบำรุงรักษากำแพงแสน"/>
    <n v="199750"/>
    <n v="220"/>
    <n v="26"/>
    <n v="0"/>
    <n v="160"/>
    <n v="0"/>
    <n v="406"/>
    <n v="100724"/>
    <n v="6432"/>
    <n v="18372"/>
    <n v="2911"/>
    <n v="1065"/>
    <n v="54398"/>
    <n v="4502"/>
    <x v="1"/>
    <n v="5913"/>
    <n v="196927"/>
    <s v="กลางเดือนกรกฎาคม"/>
    <x v="0"/>
  </r>
  <r>
    <s v="กาญจนบุรี"/>
    <s v="โครงการส่งน้ำและบำรุงรักษานครปฐม"/>
    <n v="279812.5"/>
    <n v="272.37056257152005"/>
    <n v="32.5"/>
    <n v="0"/>
    <n v="32.5"/>
    <n v="0"/>
    <n v="337.37056257152005"/>
    <n v="16060"/>
    <n v="43739"/>
    <n v="49236"/>
    <n v="85579"/>
    <n v="12940"/>
    <n v="26878"/>
    <n v="13765"/>
    <x v="2"/>
    <n v="27981"/>
    <n v="279813"/>
    <s v="กลางเดือนกรกฎาคม"/>
    <x v="0"/>
  </r>
  <r>
    <s v="ราชบุรี"/>
    <s v="โครงการส่งน้ำและบำรุงรักษานครชุม"/>
    <n v="224750"/>
    <n v="230.08826887200004"/>
    <n v="0"/>
    <n v="0"/>
    <n v="0"/>
    <n v="0"/>
    <n v="230.08826887200004"/>
    <n v="45475"/>
    <n v="1200"/>
    <n v="15010"/>
    <n v="64260"/>
    <n v="0"/>
    <n v="15235"/>
    <n v="12600"/>
    <x v="3"/>
    <n v="13450"/>
    <n v="186910"/>
    <s v="กลางเดือนกรกฎาคม"/>
    <x v="0"/>
  </r>
  <r>
    <s v="ราชบุรี"/>
    <s v="โครงการส่งน้ำและบำรุงรักษาราชบุรีฝั่งซ้าย"/>
    <n v="175562.5"/>
    <n v="120.5"/>
    <n v="15.1"/>
    <n v="2.6"/>
    <n v="0"/>
    <n v="0"/>
    <n v="138.19999999999999"/>
    <n v="49276"/>
    <n v="6342"/>
    <n v="2908"/>
    <n v="90355"/>
    <n v="3734"/>
    <n v="5151"/>
    <n v="5638"/>
    <x v="4"/>
    <n v="6470"/>
    <n v="175563"/>
    <s v="กลางเดือนกรกฎาคม"/>
    <x v="0"/>
  </r>
  <r>
    <s v="ราชบุรี"/>
    <s v="โครงการส่งน้ำและบำรุงรักษาราชบุรีฝั่งขวา"/>
    <n v="258375"/>
    <n v="387.79146856800003"/>
    <n v="69.141300000000001"/>
    <n v="0"/>
    <n v="0"/>
    <n v="0"/>
    <n v="456.93276856800003"/>
    <n v="164806"/>
    <n v="0"/>
    <n v="2835"/>
    <n v="59655"/>
    <n v="0"/>
    <n v="0"/>
    <n v="5640"/>
    <x v="5"/>
    <n v="1957"/>
    <n v="235378"/>
    <s v="กลางเดือนกรกฎาคม"/>
    <x v="0"/>
  </r>
  <r>
    <s v="กาญจนบุรี"/>
    <s v="โครงการส่งน้ำและบำรุงรักษาท่ามะกา"/>
    <n v="244562.5"/>
    <n v="396.54161819999996"/>
    <n v="0"/>
    <n v="0"/>
    <n v="0"/>
    <n v="0"/>
    <n v="396.54161819999996"/>
    <n v="199195"/>
    <n v="18"/>
    <n v="8535"/>
    <n v="5584"/>
    <n v="6675"/>
    <n v="18818"/>
    <n v="1381"/>
    <x v="6"/>
    <n v="1275"/>
    <n v="241490"/>
    <s v="กลางเดือนกรกฎาคม"/>
    <x v="0"/>
  </r>
  <r>
    <s v="กาญจนบุรี"/>
    <s v="โครงการส่งน้ำและบำรุงรักษาพนมทวน"/>
    <n v="252250"/>
    <n v="325.87101262800002"/>
    <n v="2.8"/>
    <n v="0"/>
    <n v="0"/>
    <n v="0"/>
    <n v="328.67101262800003"/>
    <n v="108628"/>
    <n v="15152"/>
    <n v="7002"/>
    <n v="3720"/>
    <n v="0"/>
    <n v="113283"/>
    <n v="663"/>
    <x v="7"/>
    <n v="129"/>
    <n v="249417"/>
    <s v="กลางเดือนกรกฎาคม"/>
    <x v="0"/>
  </r>
  <r>
    <s v="สุพรรณบุรี"/>
    <s v="โครงการส่งน้ำและบำรุงรักษาสองพี่น้อง"/>
    <n v="310125"/>
    <n v="394.48434261599999"/>
    <n v="11.620000000000001"/>
    <n v="0"/>
    <n v="0"/>
    <n v="0"/>
    <n v="406.104342616"/>
    <n v="114726"/>
    <n v="2924"/>
    <n v="2798"/>
    <n v="2317"/>
    <n v="1919"/>
    <n v="178002"/>
    <n v="4424"/>
    <x v="8"/>
    <n v="0"/>
    <n v="310125"/>
    <s v="พื้นที่ลุ่มต่ำเริ่มเมื่อกรมอุตุนิยมวิทยาประกาศการเข้าสู่ฤดูฝน, พื้นที่ดอนเริ่มกลางเดือนกรกฎาคม"/>
    <x v="0"/>
  </r>
  <r>
    <s v="นครปฐม"/>
    <s v="โครงการส่งน้ำและบำรุงรักษาบางเลน"/>
    <n v="269188"/>
    <n v="387.07681487119584"/>
    <n v="1.4480000000000011"/>
    <n v="0"/>
    <n v="5.4300000000000015"/>
    <n v="0"/>
    <n v="393.95481487119582"/>
    <n v="125386"/>
    <n v="0"/>
    <n v="6500"/>
    <n v="5361"/>
    <n v="2336"/>
    <n v="60811"/>
    <n v="14074"/>
    <x v="9"/>
    <n v="2090"/>
    <n v="269188"/>
    <s v="พื้นที่ลุ่มต่ำเริ่มเมื่อกรมอุตุนิยมวิทยาประกาศการเข้าสู่ฤดูฝน ,พื้นที่ดอนลุ่มน้ำเจ้าพระยา เริ่มเมื่อกรมอุตุฯประกาศเข้าสู่ฤดูฝน, พื้นที่ดอนลุ่มน้ำแม่กลองเริ่มกลางเดือนกรกฎาคม"/>
    <x v="1"/>
  </r>
  <r>
    <s v="ราชบุรี"/>
    <s v="โครงการส่งน้ำและบำรุงรักษาดำเนินสะดวก"/>
    <n v="125500"/>
    <n v="97"/>
    <n v="15"/>
    <n v="0"/>
    <n v="0"/>
    <n v="19"/>
    <n v="131"/>
    <n v="3570"/>
    <n v="100"/>
    <n v="4830"/>
    <n v="66220"/>
    <n v="0"/>
    <n v="0"/>
    <n v="36840"/>
    <x v="10"/>
    <n v="510"/>
    <n v="122000"/>
    <s v="กลางเดือนกรกฎาคม"/>
    <x v="0"/>
  </r>
  <r>
    <m/>
    <s v="รวม"/>
    <n v="2339875.5"/>
    <n v="2831.7240883267159"/>
    <n v="423.60930000000002"/>
    <n v="2.6"/>
    <n v="497.93"/>
    <n v="19"/>
    <n v="3774.8633883267157"/>
    <n v="927846"/>
    <n v="75907"/>
    <n v="118026"/>
    <n v="385962"/>
    <n v="28669"/>
    <n v="472576"/>
    <n v="99527"/>
    <x v="11"/>
    <n v="59775"/>
    <n v="2266811"/>
    <m/>
    <x v="2"/>
  </r>
  <r>
    <m/>
    <m/>
    <m/>
    <m/>
    <m/>
    <m/>
    <m/>
    <m/>
    <m/>
    <m/>
    <m/>
    <m/>
    <m/>
    <m/>
    <m/>
    <m/>
    <x v="12"/>
    <m/>
    <m/>
    <m/>
    <x v="2"/>
  </r>
  <r>
    <m/>
    <m/>
    <m/>
    <m/>
    <m/>
    <m/>
    <m/>
    <m/>
    <m/>
    <m/>
    <m/>
    <m/>
    <m/>
    <m/>
    <m/>
    <m/>
    <x v="12"/>
    <m/>
    <m/>
    <m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">
  <r>
    <x v="0"/>
    <s v="โครงการชลประทานอุตรดิตถ์"/>
    <n v="129696"/>
    <n v="74.849000000000004"/>
    <n v="0"/>
    <n v="0"/>
    <n v="0"/>
    <n v="0"/>
    <n v="74.849000000000004"/>
    <n v="59266"/>
    <n v="0"/>
    <n v="0"/>
    <n v="0"/>
    <n v="0"/>
    <n v="0"/>
    <n v="0"/>
    <n v="0"/>
    <n v="0"/>
    <n v="59266"/>
    <s v="พื้นที่ดอนเริ่มเมื่อกรมอุตุฯประกาศเข้าสู่ฤดูฝน"/>
    <s v="เหนือ"/>
  </r>
  <r>
    <x v="1"/>
    <s v="โครงการชลประทานนครสวรรค์"/>
    <n v="122078"/>
    <n v="133.58000000000001"/>
    <n v="2.9"/>
    <n v="0"/>
    <n v="0.26"/>
    <n v="0.05"/>
    <n v="136.79000000000002"/>
    <n v="113078"/>
    <n v="1000"/>
    <n v="0"/>
    <n v="8000"/>
    <n v="0"/>
    <n v="0"/>
    <n v="0"/>
    <n v="0"/>
    <n v="0"/>
    <n v="122078"/>
    <s v="พื้นที่ดอนเริ่มเมื่อกรมอุตุฯประกาศเข้าสู่ฤดูฝน"/>
    <s v="กลาง"/>
  </r>
  <r>
    <x v="2"/>
    <s v="โครงการส่งน้ำและบำรุงรักษาเขื่อนนเรศวร"/>
    <n v="95750"/>
    <n v="109.8"/>
    <n v="0"/>
    <n v="0"/>
    <n v="0"/>
    <n v="0"/>
    <n v="109.8"/>
    <n v="94514"/>
    <n v="232"/>
    <n v="0"/>
    <n v="0"/>
    <n v="0"/>
    <n v="975.6"/>
    <n v="0"/>
    <n v="0"/>
    <n v="28.13"/>
    <n v="95749.73000000001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s v="เหนือ"/>
  </r>
  <r>
    <x v="2"/>
    <s v="โครงการส่งน้ำและบำรุงรักษาพลายชุมพล"/>
    <n v="223813"/>
    <n v="243"/>
    <n v="0"/>
    <n v="0"/>
    <n v="0"/>
    <n v="0"/>
    <n v="243"/>
    <n v="221133"/>
    <n v="0"/>
    <n v="0"/>
    <n v="1200"/>
    <n v="709"/>
    <n v="0"/>
    <n v="771"/>
    <n v="0"/>
    <n v="0"/>
    <n v="223813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s v="เหนือ"/>
  </r>
  <r>
    <x v="3"/>
    <s v="โครงการส่งน้ำและบำรุงรักษาดงเศรษฐี"/>
    <n v="168125"/>
    <n v="193.54"/>
    <n v="0"/>
    <n v="0"/>
    <n v="0"/>
    <n v="0"/>
    <n v="193.54"/>
    <n v="168125"/>
    <n v="0"/>
    <n v="0"/>
    <n v="0"/>
    <n v="0"/>
    <n v="0"/>
    <n v="0"/>
    <n v="0"/>
    <n v="0"/>
    <n v="168125"/>
    <s v="พื้นที่ดอนเริ่มเมื่อกรมอุตุฯประกาศเข้าสู่ฤดูฝน"/>
    <s v="เหนือ"/>
  </r>
  <r>
    <x v="3"/>
    <s v="โครงการส่งน้ำและบำรุงรักษาท่าบัว"/>
    <n v="201688"/>
    <n v="157.94"/>
    <n v="0"/>
    <n v="0"/>
    <n v="0"/>
    <n v="0"/>
    <n v="157.94"/>
    <n v="190318"/>
    <n v="6104"/>
    <n v="13"/>
    <n v="44"/>
    <n v="4960"/>
    <n v="63"/>
    <n v="149"/>
    <n v="0"/>
    <n v="37"/>
    <n v="201688"/>
    <s v="พื้นที่ดอนเริ่มเมื่อกรมอุตุฯประกาศเข้าสู่ฤดูฝน"/>
    <s v="เหนือ"/>
  </r>
  <r>
    <x v="2"/>
    <s v="โครงการส่งน้ำและบำรุงรักษาเขื่อนแควน้อยบำรุงแดน"/>
    <n v="160000"/>
    <n v="86.292790624941972"/>
    <n v="0.2669081073516118"/>
    <n v="7.5474015374706716E-2"/>
    <n v="7.9462642147489229"/>
    <n v="255.41856303758274"/>
    <n v="349.99999999999994"/>
    <n v="160000"/>
    <n v="0"/>
    <n v="0"/>
    <n v="0"/>
    <n v="0"/>
    <n v="0"/>
    <n v="0"/>
    <n v="0"/>
    <n v="0"/>
    <n v="160000"/>
    <s v="พื้นที่ดอนเริ่มเมื่อกรมอุตุฯประกาศเข้าสู่ฤดูฝน"/>
    <s v="เหนือ"/>
  </r>
  <r>
    <x v="2"/>
    <s v="โครงการส่งน้ำและบำรุงรักษายมน่าน"/>
    <n v="290000"/>
    <n v="224"/>
    <n v="0"/>
    <n v="0"/>
    <n v="0"/>
    <n v="0"/>
    <n v="224"/>
    <n v="290000"/>
    <n v="0"/>
    <n v="0"/>
    <n v="0"/>
    <n v="0"/>
    <n v="0"/>
    <n v="0"/>
    <n v="0"/>
    <n v="0"/>
    <n v="290000"/>
    <s v="พื้นที่ลุ่มต่ำ (บางระกำโมเดล) เริ่ม 1 เมษายน, _x000a_พื้นที่ดอนเริ่มเมื่อกรมอุตุฯประกาศเข้าสู่ฤดูฝน"/>
    <s v="เหนือ"/>
  </r>
  <r>
    <x v="4"/>
    <s v="รวม"/>
    <n v="1391150"/>
    <n v="1223.001790624942"/>
    <n v="3.1669081073516119"/>
    <n v="7.5474015374706716E-2"/>
    <n v="8.2062642147489235"/>
    <n v="255.46856303758275"/>
    <n v="1489.9190000000001"/>
    <n v="1296434"/>
    <n v="7336"/>
    <n v="13"/>
    <n v="9244"/>
    <n v="5669"/>
    <n v="1038.5999999999999"/>
    <n v="920"/>
    <n v="0"/>
    <n v="65.13"/>
    <n v="1320719.73"/>
    <m/>
    <e v="#N/A"/>
  </r>
  <r>
    <x v="4"/>
    <s v="สำนักงานชลประทานที่ 4"/>
    <m/>
    <m/>
    <m/>
    <m/>
    <m/>
    <m/>
    <m/>
    <m/>
    <m/>
    <m/>
    <m/>
    <m/>
    <m/>
    <m/>
    <m/>
    <m/>
    <m/>
    <m/>
    <e v="#N/A"/>
  </r>
  <r>
    <x v="5"/>
    <s v="โครงการชลประทานกำแพงเพชร"/>
    <n v="967490"/>
    <n v="936.31999999999994"/>
    <n v="1.6"/>
    <n v="0"/>
    <n v="0"/>
    <n v="0"/>
    <n v="937.92"/>
    <n v="634294"/>
    <n v="3350"/>
    <n v="0"/>
    <n v="216223"/>
    <n v="19784"/>
    <n v="7961"/>
    <n v="0"/>
    <n v="0"/>
    <n v="15711"/>
    <n v="897323"/>
    <s v="พื้นที่ดอนเริ่มเมื่อกรมอุตุฯประกาศเข้าสู่ฤดูฝน"/>
    <s v="เหนือ"/>
  </r>
  <r>
    <x v="6"/>
    <s v="โครงการชลประทานตาก"/>
    <n v="61040"/>
    <n v="107.095"/>
    <n v="0"/>
    <n v="0"/>
    <n v="0"/>
    <n v="0"/>
    <n v="107.095"/>
    <n v="50000"/>
    <n v="1500"/>
    <n v="500"/>
    <n v="0"/>
    <n v="0"/>
    <n v="8200"/>
    <n v="0"/>
    <n v="0"/>
    <n v="0"/>
    <n v="60200"/>
    <s v="พื้นที่ดอนเริ่มเมื่อกรมอุตุฯประกาศเข้าสู่ฤดูฝน"/>
    <s v="เหนือ"/>
  </r>
  <r>
    <x v="5"/>
    <s v="โครงการส่งน้ำและบำรุงรักษาท่อทองแดง"/>
    <n v="550688"/>
    <n v="404.71199999999999"/>
    <n v="0"/>
    <n v="0"/>
    <n v="0"/>
    <n v="0"/>
    <n v="404.71199999999999"/>
    <n v="345719"/>
    <n v="2460"/>
    <n v="0"/>
    <n v="86421"/>
    <n v="4359"/>
    <n v="0"/>
    <n v="0"/>
    <n v="0"/>
    <n v="0"/>
    <n v="438959"/>
    <s v="พื้นที่ดอนเริ่มเมื่อกรมอุตุฯประกาศเข้าสู่ฤดูฝน"/>
    <s v="เหนือ"/>
  </r>
  <r>
    <x v="4"/>
    <s v="รวม"/>
    <n v="1579218"/>
    <n v="1448.127"/>
    <n v="1.6"/>
    <n v="0"/>
    <n v="0"/>
    <n v="0"/>
    <n v="1449.7269999999999"/>
    <n v="1030013"/>
    <n v="7310"/>
    <n v="500"/>
    <n v="302644"/>
    <n v="24143"/>
    <n v="16161"/>
    <n v="0"/>
    <n v="0"/>
    <n v="15711"/>
    <n v="1396482"/>
    <m/>
    <e v="#N/A"/>
  </r>
  <r>
    <x v="4"/>
    <s v="สำนักงานชลประทานที่ 10"/>
    <m/>
    <m/>
    <m/>
    <m/>
    <m/>
    <m/>
    <m/>
    <m/>
    <m/>
    <m/>
    <m/>
    <m/>
    <m/>
    <m/>
    <m/>
    <m/>
    <m/>
    <m/>
    <e v="#N/A"/>
  </r>
  <r>
    <x v="1"/>
    <s v="โครงการส่งน้ำและบำรุงรักษาช่องแค"/>
    <n v="251375"/>
    <n v="285.35999999999996"/>
    <n v="1.25"/>
    <n v="0"/>
    <n v="0"/>
    <n v="0"/>
    <n v="286.60999999999996"/>
    <n v="233400"/>
    <n v="0"/>
    <n v="0"/>
    <n v="0"/>
    <n v="2740"/>
    <n v="445"/>
    <n v="740"/>
    <n v="15"/>
    <n v="460"/>
    <n v="237800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7"/>
    <s v="โครงการส่งน้ำและบำรุงรักษามโนรมย์"/>
    <n v="281188"/>
    <n v="313.72319999999996"/>
    <n v="1.65"/>
    <n v="0.28999999999999998"/>
    <n v="0"/>
    <n v="0"/>
    <n v="315.66319999999996"/>
    <n v="247500"/>
    <n v="0"/>
    <n v="0"/>
    <n v="9291"/>
    <n v="2347"/>
    <n v="64"/>
    <n v="313"/>
    <n v="0"/>
    <n v="1921"/>
    <n v="261436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8"/>
    <s v="โครงการส่งน้ำและบำรุงรักษาโคกกะเทียม"/>
    <n v="212750"/>
    <n v="255.5652"/>
    <n v="5.9"/>
    <n v="0.1"/>
    <n v="0"/>
    <n v="0"/>
    <n v="261.5652"/>
    <n v="209879"/>
    <n v="135"/>
    <n v="280"/>
    <n v="0"/>
    <n v="1293"/>
    <n v="0"/>
    <n v="1163"/>
    <n v="0"/>
    <n v="0"/>
    <n v="212750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9"/>
    <s v="โครงการส่งน้ำและบำรุงรักษาเริงราง"/>
    <n v="162875"/>
    <n v="207.61199999999997"/>
    <n v="1.641"/>
    <n v="1.27"/>
    <n v="0"/>
    <n v="0"/>
    <n v="210.52299999999997"/>
    <n v="159875"/>
    <n v="3000"/>
    <n v="0"/>
    <n v="0"/>
    <n v="0"/>
    <n v="0"/>
    <n v="0"/>
    <n v="0"/>
    <n v="0"/>
    <n v="162875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0"/>
    <s v="โครงการส่งน้ำและบำรุงรักษามหาราช"/>
    <n v="402687.5"/>
    <n v="442.96"/>
    <n v="0"/>
    <n v="0"/>
    <n v="0"/>
    <n v="0"/>
    <n v="442.96"/>
    <n v="395340"/>
    <n v="0"/>
    <n v="0"/>
    <n v="180"/>
    <n v="6008"/>
    <n v="0"/>
    <n v="1159"/>
    <n v="0"/>
    <n v="0"/>
    <n v="402687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9"/>
    <s v="โครงการส่งน้ำและบำรุงรักษาคลองเพรียวเสาไห้"/>
    <n v="143250"/>
    <n v="162.35999999999999"/>
    <n v="0"/>
    <n v="0"/>
    <n v="0"/>
    <n v="0"/>
    <n v="162.35999999999999"/>
    <n v="135300"/>
    <n v="0"/>
    <n v="0"/>
    <n v="0"/>
    <n v="0"/>
    <n v="0"/>
    <n v="0"/>
    <n v="0"/>
    <n v="0"/>
    <n v="135300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1"/>
    <s v="โครงการส่งน้ำและบำรุงรักษาป่าสักใต้"/>
    <n v="206750"/>
    <n v="246.82919999999999"/>
    <n v="2.444"/>
    <n v="13.188000000000001"/>
    <n v="181.56"/>
    <n v="0"/>
    <n v="444.02119999999996"/>
    <n v="128399"/>
    <n v="1081"/>
    <n v="0"/>
    <n v="0"/>
    <n v="28699"/>
    <n v="0"/>
    <n v="1125"/>
    <n v="0"/>
    <n v="46387"/>
    <n v="205691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1"/>
    <s v="โครงการส่งน้ำและบำรุงรักษานครหลวง"/>
    <n v="199937.5"/>
    <n v="131.42999999999998"/>
    <n v="0"/>
    <n v="0"/>
    <n v="0"/>
    <n v="0"/>
    <n v="131.42999999999998"/>
    <n v="108919"/>
    <n v="130"/>
    <n v="40"/>
    <n v="0"/>
    <n v="0"/>
    <n v="0"/>
    <n v="436"/>
    <n v="0"/>
    <n v="0"/>
    <n v="109525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8"/>
    <s v="โครงการส่งน้ำและบำรุงรักษาเขื่อนป่าสักชลสิทธิ์"/>
    <n v="125375"/>
    <n v="350"/>
    <n v="0"/>
    <n v="0"/>
    <n v="0"/>
    <n v="0"/>
    <n v="350"/>
    <n v="74480"/>
    <n v="8178"/>
    <n v="3391"/>
    <n v="12548"/>
    <n v="2850"/>
    <n v="3741"/>
    <n v="458"/>
    <n v="0"/>
    <n v="0"/>
    <n v="105646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1"/>
    <s v="โครงการส่งน้ำและบำรุงรักษาบางบาล"/>
    <n v="126562.5"/>
    <n v="120.33239999999999"/>
    <n v="0"/>
    <n v="0"/>
    <n v="0"/>
    <n v="0"/>
    <n v="120.33239999999999"/>
    <n v="100000"/>
    <n v="20"/>
    <n v="35"/>
    <n v="0"/>
    <n v="30"/>
    <n v="20"/>
    <n v="457"/>
    <n v="0"/>
    <n v="0"/>
    <n v="100562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4"/>
    <s v="รวม"/>
    <n v="2112750.5"/>
    <n v="2516.1719999999996"/>
    <n v="12.885000000000002"/>
    <n v="14.848000000000001"/>
    <n v="181.56"/>
    <n v="0"/>
    <n v="2725.4649999999992"/>
    <n v="1793092"/>
    <n v="12544"/>
    <n v="3746"/>
    <n v="22019"/>
    <n v="43967"/>
    <n v="4270"/>
    <n v="5851"/>
    <n v="15"/>
    <n v="48768"/>
    <n v="1934272"/>
    <m/>
    <e v="#N/A"/>
  </r>
  <r>
    <x v="4"/>
    <s v="สำนักงานชลประทานที่ 11"/>
    <m/>
    <m/>
    <m/>
    <m/>
    <m/>
    <m/>
    <m/>
    <m/>
    <m/>
    <m/>
    <m/>
    <m/>
    <m/>
    <m/>
    <m/>
    <m/>
    <m/>
    <m/>
    <e v="#N/A"/>
  </r>
  <r>
    <x v="11"/>
    <s v="โครงการส่งน้ำและบำรุงรักษาเจ้าเจ็ดบางยี่หน"/>
    <n v="384062.5"/>
    <n v="280.80768901930702"/>
    <n v="0"/>
    <n v="0"/>
    <n v="0"/>
    <n v="0"/>
    <n v="280.80768901930702"/>
    <n v="331770"/>
    <n v="1137"/>
    <n v="1436"/>
    <n v="0"/>
    <n v="7546"/>
    <n v="0"/>
    <n v="4912"/>
    <n v="1192"/>
    <n v="0"/>
    <n v="347993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2"/>
    <s v="โครงการส่งน้ำและบำรุงรักษาพระยาบรรลือ"/>
    <n v="382062.5"/>
    <n v="288"/>
    <n v="0"/>
    <n v="0"/>
    <n v="0"/>
    <n v="0"/>
    <n v="288"/>
    <n v="272457"/>
    <n v="45"/>
    <n v="5427"/>
    <n v="0"/>
    <n v="16349"/>
    <n v="5625"/>
    <n v="4318"/>
    <n v="1420"/>
    <n v="1628"/>
    <n v="307269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3"/>
    <s v="โครงการส่งน้ำและบำรุงรักษาพระพิมล"/>
    <n v="199000"/>
    <n v="209.42"/>
    <n v="1.47"/>
    <n v="0.18"/>
    <n v="12.887"/>
    <n v="0"/>
    <n v="223.95699999999999"/>
    <n v="122200"/>
    <n v="6270"/>
    <n v="5230"/>
    <n v="0"/>
    <n v="4850"/>
    <n v="3070"/>
    <n v="270"/>
    <n v="57110"/>
    <n v="0"/>
    <n v="199000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4"/>
    <s v="โครงการส่งน้ำและบำรุงรักษาภาษีเจริญ"/>
    <n v="50724.12"/>
    <n v="19.439999999999998"/>
    <n v="0"/>
    <n v="0.02"/>
    <n v="12.96"/>
    <n v="0"/>
    <n v="32.42"/>
    <n v="11380"/>
    <n v="0"/>
    <n v="1671"/>
    <n v="0"/>
    <n v="13000"/>
    <n v="4342"/>
    <n v="3343"/>
    <n v="188"/>
    <n v="0"/>
    <n v="33924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1"/>
    <s v="โครงการส่งน้ำและบำรุงรักษารังสิตเหนือ"/>
    <n v="291500"/>
    <n v="362.65893717600073"/>
    <n v="19"/>
    <n v="0.6"/>
    <n v="2.6999999999999997"/>
    <n v="2.6999999999999997"/>
    <n v="387.65893717600073"/>
    <n v="89750.400000000009"/>
    <n v="3089"/>
    <n v="2517"/>
    <n v="0"/>
    <n v="57343"/>
    <n v="4022"/>
    <n v="2591"/>
    <n v="0"/>
    <n v="12479"/>
    <n v="171791.40000000002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5"/>
    <s v="โครงการส่งน้ำและบำรุงรักษารังสิตใต้"/>
    <n v="499125"/>
    <n v="550.1"/>
    <n v="21.2"/>
    <n v="3.9"/>
    <n v="4"/>
    <n v="0"/>
    <n v="579.20000000000005"/>
    <n v="401721"/>
    <n v="0"/>
    <n v="0"/>
    <n v="0"/>
    <n v="11493"/>
    <n v="0"/>
    <n v="11478"/>
    <n v="175"/>
    <n v="4001"/>
    <n v="428868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6"/>
    <s v="โครงการส่งน้ำและบำรุงรักษาชลหารพิจิตร"/>
    <n v="242000"/>
    <n v="304.32"/>
    <n v="0"/>
    <n v="0.24"/>
    <n v="10.6"/>
    <n v="0"/>
    <n v="315.16000000000003"/>
    <n v="69746"/>
    <n v="0"/>
    <n v="9822"/>
    <n v="0"/>
    <n v="0"/>
    <n v="0"/>
    <n v="99635"/>
    <n v="4700"/>
    <n v="1435"/>
    <n v="185338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7"/>
    <s v="โครงการส่งน้ำและบำรุงรักษาพระองค์ไชยานุชิต"/>
    <n v="404000"/>
    <n v="570"/>
    <n v="20"/>
    <n v="1"/>
    <n v="45"/>
    <n v="0"/>
    <n v="636"/>
    <n v="234500"/>
    <n v="0"/>
    <n v="0"/>
    <n v="0"/>
    <n v="8531"/>
    <n v="0"/>
    <n v="100907"/>
    <n v="48996"/>
    <n v="8241"/>
    <n v="401175"/>
    <s v="พื้นที่ลุ่มต่ำเริ่ม 1 พฤษภาคม, _x000a_พื้นที่ดอนเริ่มเมื่อกรมอุตุฯประกาศเข้าสู่ฤดูฝน"/>
    <s v="ตะวันออก"/>
  </r>
  <r>
    <x v="4"/>
    <s v="รวม"/>
    <n v="2452474.12"/>
    <n v="2584.7466261953077"/>
    <n v="61.67"/>
    <n v="5.94"/>
    <n v="88.146999999999991"/>
    <n v="2.6999999999999997"/>
    <n v="2743.2036261953076"/>
    <n v="1533524.4"/>
    <n v="10541"/>
    <n v="26103"/>
    <n v="0"/>
    <n v="119112"/>
    <n v="17059"/>
    <n v="227454"/>
    <n v="113781"/>
    <n v="27784"/>
    <n v="2075358.4"/>
    <m/>
    <e v="#N/A"/>
  </r>
  <r>
    <x v="4"/>
    <s v="สำนักงานชลประทานที่ 12"/>
    <m/>
    <m/>
    <m/>
    <m/>
    <m/>
    <m/>
    <m/>
    <m/>
    <m/>
    <m/>
    <m/>
    <m/>
    <m/>
    <m/>
    <m/>
    <m/>
    <m/>
    <m/>
    <e v="#N/A"/>
  </r>
  <r>
    <x v="7"/>
    <s v="โครงการชลประทานชัยนาท"/>
    <n v="59264"/>
    <n v="46.27807434048021"/>
    <n v="1.4720000000000011"/>
    <n v="0"/>
    <n v="0"/>
    <n v="0"/>
    <n v="47.750074340480211"/>
    <n v="57695"/>
    <n v="0"/>
    <n v="0"/>
    <n v="0"/>
    <n v="1275"/>
    <n v="0"/>
    <n v="294"/>
    <n v="0"/>
    <n v="0"/>
    <n v="59264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8"/>
    <s v="โครงการชลประทานสุพรรณบุรี"/>
    <n v="1992"/>
    <n v="29.879226406583967"/>
    <n v="0"/>
    <n v="0"/>
    <n v="0"/>
    <n v="0"/>
    <n v="29.879226406583967"/>
    <n v="1992"/>
    <n v="0"/>
    <n v="0"/>
    <n v="0"/>
    <n v="0"/>
    <n v="0"/>
    <n v="0"/>
    <n v="0"/>
    <n v="0"/>
    <n v="1992"/>
    <s v="พื้นที่ลุ่มต่ำเริ่ม 1 พฤษภาคม, _x000a_พื้นที่ดอนเริ่มเมื่อกรมอุตุฯประกาศเข้าสู่ฤดูฝน"/>
    <s v="ตะวันตก"/>
  </r>
  <r>
    <x v="7"/>
    <s v="โครงการส่งน้ำและบำรุงรักษาเขื่อนเจ้าพระยา"/>
    <n v="0"/>
    <n v="0"/>
    <n v="180"/>
    <n v="0"/>
    <n v="56"/>
    <n v="0"/>
    <n v="236"/>
    <n v="0"/>
    <n v="0"/>
    <n v="0"/>
    <n v="0"/>
    <n v="0"/>
    <n v="0"/>
    <n v="0"/>
    <n v="0"/>
    <n v="0"/>
    <n v="0"/>
    <s v="-"/>
    <s v="กลาง"/>
  </r>
  <r>
    <x v="7"/>
    <s v="โครงการส่งน้ำและบำรุงรักษาพลเทพ"/>
    <n v="104688"/>
    <n v="101.68163190721602"/>
    <n v="2.9440000000000022"/>
    <n v="0"/>
    <n v="0"/>
    <n v="0"/>
    <n v="104.62563190721602"/>
    <n v="103176"/>
    <n v="164"/>
    <n v="0"/>
    <n v="0"/>
    <n v="1348"/>
    <n v="0"/>
    <n v="0"/>
    <n v="0"/>
    <n v="0"/>
    <n v="104688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7"/>
    <s v="โครงการส่งน้ำและบำรุงรักษาท่าโบสถ์"/>
    <n v="164625"/>
    <n v="163.024"/>
    <n v="0"/>
    <n v="0"/>
    <n v="0"/>
    <n v="0"/>
    <n v="163.024"/>
    <n v="158529"/>
    <n v="0"/>
    <n v="0"/>
    <n v="1630"/>
    <n v="4225"/>
    <n v="0"/>
    <n v="19"/>
    <n v="82"/>
    <n v="140"/>
    <n v="164625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8"/>
    <s v="โครงการส่งน้ำและบำรุงรักษาสามชุก"/>
    <n v="304875"/>
    <n v="304.9303998322024"/>
    <n v="1.4720000000000011"/>
    <n v="0.20239999999999941"/>
    <n v="0"/>
    <n v="0"/>
    <n v="306.60479983220239"/>
    <n v="253306"/>
    <n v="0"/>
    <n v="0"/>
    <n v="19281"/>
    <n v="13618"/>
    <n v="3270"/>
    <n v="6008"/>
    <n v="497"/>
    <n v="8895"/>
    <n v="304875"/>
    <s v="พื้นที่ลุ่มต่ำเริ่ม 1 พฤษภาคม, _x000a_พื้นที่ดอนเริ่มเมื่อกรมอุตุฯประกาศเข้าสู่ฤดูฝน"/>
    <s v="ตะวันตก"/>
  </r>
  <r>
    <x v="18"/>
    <s v="โครงการส่งน้ำและบำรุงรักษาดอนเจดีย์"/>
    <n v="135188"/>
    <n v="125.54595255738938"/>
    <n v="1.4720000000000011"/>
    <n v="0"/>
    <n v="0"/>
    <n v="0"/>
    <n v="127.01795255738938"/>
    <n v="121826"/>
    <n v="2462"/>
    <n v="0"/>
    <n v="0"/>
    <n v="9580"/>
    <n v="0"/>
    <n v="160"/>
    <n v="1160"/>
    <n v="0"/>
    <n v="135188"/>
    <s v="พื้นที่ลุ่มต่ำเริ่ม 1 พฤษภาคม, _x000a_พื้นที่ดอนเริ่มเมื่อกรมอุตุฯประกาศเข้าสู่ฤดูฝน"/>
    <s v="ตะวันตก"/>
  </r>
  <r>
    <x v="18"/>
    <s v="โครงการส่งน้ำและบำรุงรักษาโพธิ์พระยา"/>
    <n v="330063"/>
    <n v="339.5444885212537"/>
    <n v="0"/>
    <n v="0"/>
    <n v="0"/>
    <n v="75"/>
    <n v="414.5444885212537"/>
    <n v="278685"/>
    <n v="4525"/>
    <n v="0"/>
    <n v="0"/>
    <n v="15029"/>
    <n v="0"/>
    <n v="19458"/>
    <n v="2371"/>
    <n v="0"/>
    <n v="320068"/>
    <s v="พื้นที่ลุ่มต่ำเริ่ม 1 พฤษภาคม, _x000a_พื้นที่ดอนเริ่มเมื่อกรมอุตุฯประกาศเข้าสู่ฤดูฝน"/>
    <s v="ตะวันตก"/>
  </r>
  <r>
    <x v="7"/>
    <s v="โครงการส่งน้ำและบำรุงรักษาบรมธาตุ"/>
    <n v="329063"/>
    <n v="286.28899733163121"/>
    <n v="0"/>
    <n v="0"/>
    <n v="0"/>
    <n v="0"/>
    <n v="286.28899733163121"/>
    <n v="290000"/>
    <n v="0"/>
    <n v="0"/>
    <n v="0"/>
    <n v="0"/>
    <n v="0"/>
    <n v="0"/>
    <n v="0"/>
    <n v="0"/>
    <n v="290000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0"/>
    <s v="โครงการส่งน้ำและบำรุงรักษาชัณสูตร"/>
    <n v="454312.5"/>
    <n v="425.6537238201434"/>
    <n v="0"/>
    <n v="0"/>
    <n v="0"/>
    <n v="0"/>
    <n v="425.6537238201434"/>
    <n v="391407"/>
    <n v="0"/>
    <n v="0"/>
    <n v="32536"/>
    <n v="7832"/>
    <n v="0"/>
    <n v="2072"/>
    <n v="0"/>
    <n v="0"/>
    <n v="433847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9"/>
    <s v="โครงการส่งน้ำและบำรุงรักษายางมณี"/>
    <n v="184062.5"/>
    <n v="138.99968955694854"/>
    <n v="11.618285714285717"/>
    <n v="0"/>
    <n v="0"/>
    <n v="0"/>
    <n v="150.61797527123426"/>
    <n v="145000"/>
    <n v="0"/>
    <n v="0"/>
    <n v="375"/>
    <n v="7320"/>
    <n v="0"/>
    <n v="2052"/>
    <n v="0"/>
    <n v="0"/>
    <n v="154747"/>
    <s v="พื้นที่ลุ่มต่ำเริ่ม 1 พฤษภาคม, _x000a_พื้นที่ดอนเริ่มเมื่อกรมอุตุฯประกาศเข้าสู่ฤดูฝน"/>
    <s v="กลาง"/>
  </r>
  <r>
    <x v="11"/>
    <s v="โครงการส่งน้ำและบำรุงรักษาผักไห่"/>
    <n v="180875"/>
    <n v="176.49513938222105"/>
    <n v="1.1040000000000008"/>
    <n v="0"/>
    <n v="0"/>
    <n v="0"/>
    <n v="177.59913938222107"/>
    <n v="146175"/>
    <n v="291"/>
    <n v="0"/>
    <n v="0"/>
    <n v="0"/>
    <n v="0"/>
    <n v="0"/>
    <n v="6478"/>
    <n v="0"/>
    <n v="152944"/>
    <s v="พื้นที่ลุ่มต่ำเริ่ม 1 พฤษภาคม, _x000a_พื้นที่ดอนเริ่มเมื่อกรมอุตุฯประกาศเข้าสู่ฤดูฝน"/>
    <s v="กลาง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S11" firstHeaderRow="1" firstDataRow="2" firstDataCol="1"/>
  <pivotFields count="21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48">
        <item x="36"/>
        <item x="35"/>
        <item x="28"/>
        <item x="34"/>
        <item x="11"/>
        <item x="2"/>
        <item x="37"/>
        <item x="1"/>
        <item x="22"/>
        <item x="23"/>
        <item x="0"/>
        <item x="40"/>
        <item x="19"/>
        <item x="6"/>
        <item x="17"/>
        <item x="38"/>
        <item x="4"/>
        <item x="45"/>
        <item x="44"/>
        <item x="27"/>
        <item x="21"/>
        <item x="5"/>
        <item x="20"/>
        <item x="16"/>
        <item x="3"/>
        <item x="31"/>
        <item x="14"/>
        <item x="15"/>
        <item x="7"/>
        <item x="29"/>
        <item x="39"/>
        <item x="42"/>
        <item x="41"/>
        <item x="26"/>
        <item x="25"/>
        <item x="18"/>
        <item x="32"/>
        <item x="43"/>
        <item x="30"/>
        <item x="12"/>
        <item x="10"/>
        <item x="8"/>
        <item x="13"/>
        <item x="24"/>
        <item x="46"/>
        <item x="33"/>
        <item x="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7">
        <item x="1"/>
        <item x="4"/>
        <item x="3"/>
        <item x="0"/>
        <item x="2"/>
        <item x="5"/>
        <item t="default"/>
      </items>
    </pivotField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Sum of พื้นที่ ชป. (ไร่)" fld="2" baseField="20" baseItem="0"/>
    <dataField name="Sum of เกษตร" fld="3" baseField="20" baseItem="0"/>
    <dataField name="Sum of อุปโภค-" fld="4" baseField="20" baseItem="0"/>
    <dataField name="Sum of อุตสาห-" fld="5" baseField="20" baseItem="0"/>
    <dataField name="Sum of ระบบ" fld="6" baseField="20" baseItem="0"/>
    <dataField name="Sum of อื่นๆ" fld="7" baseField="20" baseItem="0"/>
    <dataField name="Sum of รวม" fld="8" baseField="20" baseItem="0"/>
    <dataField name="Sum of ข้าวนาปี" fld="9" baseField="20" baseItem="0"/>
    <dataField name="Sum of พืชไร่" fld="10" baseField="20" baseItem="0"/>
    <dataField name="Sum of พืชผัก" fld="11" baseField="20" baseItem="0"/>
    <dataField name="Sum of อ้อย" fld="12" baseField="20" baseItem="0"/>
    <dataField name="Sum of ไม้ผล" fld="13" baseField="20" baseItem="0"/>
    <dataField name="Sum of ไม้ยืนต้น" fld="14" baseField="20" baseItem="0"/>
    <dataField name="Sum of บ่อปลา" fld="15" baseField="20" baseItem="0"/>
    <dataField name="Sum of บ่อกุ้ง" fld="16" baseField="20" baseItem="0"/>
    <dataField name="Sum of อื่นๆ2" fld="17" baseField="20" baseItem="0"/>
    <dataField name="Sum of รวม2" fld="18" baseField="20" baseItem="0"/>
    <dataField name="Sum of แนะ" fld="19" baseField="2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B3:S25" firstHeaderRow="1" firstDataRow="2" firstDataCol="1"/>
  <pivotFields count="21">
    <pivotField axis="axisRow" compact="0" outline="0" subtotalTop="0" showAll="0" includeNewItemsInFilter="1">
      <items count="22">
        <item x="5"/>
        <item x="17"/>
        <item x="7"/>
        <item x="6"/>
        <item x="13"/>
        <item x="1"/>
        <item x="12"/>
        <item x="15"/>
        <item x="11"/>
        <item x="3"/>
        <item x="2"/>
        <item x="8"/>
        <item x="16"/>
        <item x="14"/>
        <item x="9"/>
        <item x="10"/>
        <item x="18"/>
        <item x="19"/>
        <item x="0"/>
        <item m="1" x="20"/>
        <item x="4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Sum of พื้นที่ ชป. (ไร่)" fld="2" baseField="0" baseItem="0"/>
    <dataField name="Sum of เกษตร" fld="3" baseField="0" baseItem="0"/>
    <dataField name="Sum of อุปโภค-" fld="4" baseField="0" baseItem="0"/>
    <dataField name="Sum of อุตสาห-" fld="5" baseField="0" baseItem="0"/>
    <dataField name="Sum of ระบบ" fld="6" baseField="0" baseItem="0"/>
    <dataField name="Sum of อื่นๆ" fld="7" baseField="0" baseItem="0"/>
    <dataField name="Sum of รวม" fld="8" baseField="0" baseItem="0"/>
    <dataField name="Sum of ข้าวนาปี" fld="9" baseField="0" baseItem="0"/>
    <dataField name="Sum of พืชไร่" fld="10" baseField="0" baseItem="0"/>
    <dataField name="Sum of พืชผัก" fld="11" baseField="0" baseItem="0"/>
    <dataField name="Sum of อ้อย" fld="12" baseField="0" baseItem="0"/>
    <dataField name="Sum of ไม้ผล" fld="13" baseField="0" baseItem="0"/>
    <dataField name="Sum of ไม้ยืนต้น" fld="14" baseField="0" baseItem="0"/>
    <dataField name="Sum of บ่อปลา" fld="15" baseField="0" baseItem="0"/>
    <dataField name="Sum of บ่อกุ้ง" fld="16" baseField="0" baseItem="0"/>
    <dataField name="Sum of อื่นๆ2" fld="17" baseField="0" baseItem="0"/>
    <dataField name="Sum of รวม2" fld="18" baseField="0" baseItem="0"/>
  </dataFields>
  <formats count="2"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8" cacheId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S8" firstHeaderRow="1" firstDataRow="2" firstDataCol="1"/>
  <pivotFields count="21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14">
        <item x="0"/>
        <item x="6"/>
        <item x="5"/>
        <item x="7"/>
        <item x="1"/>
        <item x="8"/>
        <item x="2"/>
        <item x="4"/>
        <item x="10"/>
        <item x="3"/>
        <item x="9"/>
        <item x="11"/>
        <item x="1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4">
        <item x="1"/>
        <item x="0"/>
        <item x="2"/>
        <item t="default"/>
      </items>
    </pivotField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Sum of พื้นที่ ชป. (ไร่)" fld="2" baseField="20" baseItem="0"/>
    <dataField name="Sum of เกษตร" fld="3" baseField="20" baseItem="0"/>
    <dataField name="Sum of อุปโภค-" fld="4" baseField="20" baseItem="0"/>
    <dataField name="Sum of อุตสาห-" fld="5" baseField="20" baseItem="0"/>
    <dataField name="Sum of ระบบ" fld="6" baseField="20" baseItem="0"/>
    <dataField name="Sum of อื่นๆ" fld="7" baseField="20" baseItem="0"/>
    <dataField name="Sum of รวม" fld="8" baseField="20" baseItem="0"/>
    <dataField name="Sum of ข้าวนาปี" fld="9" baseField="20" baseItem="0"/>
    <dataField name="Sum of พืชไร่" fld="10" baseField="20" baseItem="0"/>
    <dataField name="Sum of พืชผัก" fld="11" baseField="20" baseItem="0"/>
    <dataField name="Sum of อ้อย" fld="12" baseField="20" baseItem="0"/>
    <dataField name="Sum of ไม้ผล" fld="13" baseField="20" baseItem="0"/>
    <dataField name="Sum of ไม้ยืนต้น" fld="14" baseField="20" baseItem="0"/>
    <dataField name="Sum of บ่อปลา" fld="15" baseField="20" baseItem="0"/>
    <dataField name="Sum of บ่อกุ้ง" fld="16" baseField="20" baseItem="0"/>
    <dataField name="Sum of อื่นๆ2" fld="17" baseField="20" baseItem="0"/>
    <dataField name="Sum of รวม2" fld="18" baseField="20" baseItem="0"/>
    <dataField name="Sum of แนะนำ" fld="19" baseField="2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55"/>
  <sheetViews>
    <sheetView showGridLines="0" view="pageBreakPreview" zoomScale="25" zoomScaleNormal="70" zoomScaleSheetLayoutView="25" workbookViewId="0">
      <pane xSplit="2" ySplit="5" topLeftCell="C261" activePane="bottomRight" state="frozen"/>
      <selection activeCell="A2" sqref="A2"/>
      <selection pane="topRight" activeCell="A2" sqref="A2"/>
      <selection pane="bottomLeft" activeCell="A2" sqref="A2"/>
      <selection pane="bottomRight" activeCell="V348" sqref="V348"/>
    </sheetView>
  </sheetViews>
  <sheetFormatPr defaultColWidth="9.140625" defaultRowHeight="21.75"/>
  <cols>
    <col min="1" max="1" width="3.7109375" style="2" bestFit="1" customWidth="1"/>
    <col min="2" max="2" width="22.5703125" style="1" customWidth="1"/>
    <col min="3" max="3" width="13" style="1" bestFit="1" customWidth="1"/>
    <col min="4" max="4" width="12.7109375" style="1" bestFit="1" customWidth="1"/>
    <col min="5" max="5" width="11.7109375" style="1" bestFit="1" customWidth="1"/>
    <col min="6" max="6" width="36.42578125" style="1" bestFit="1" customWidth="1"/>
    <col min="7" max="7" width="25.7109375" style="1" customWidth="1"/>
    <col min="8" max="8" width="21.42578125" style="1" customWidth="1"/>
    <col min="9" max="14" width="11.42578125" style="2" customWidth="1"/>
    <col min="15" max="15" width="13.5703125" style="2" customWidth="1"/>
    <col min="16" max="16" width="18.42578125" style="2" customWidth="1"/>
    <col min="17" max="18" width="9.140625" style="2" customWidth="1"/>
    <col min="19" max="16384" width="9.140625" style="2"/>
  </cols>
  <sheetData>
    <row r="1" spans="1:16" s="1" customFormat="1" ht="27.75">
      <c r="A1" s="243" t="s">
        <v>1203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05"/>
    </row>
    <row r="2" spans="1:16" s="1" customFormat="1" ht="15" customHeight="1">
      <c r="B2" s="23"/>
      <c r="C2" s="23"/>
      <c r="D2" s="23"/>
      <c r="E2" s="23"/>
      <c r="F2" s="23"/>
      <c r="G2" s="23"/>
      <c r="H2" s="23"/>
      <c r="I2" s="22"/>
      <c r="J2" s="22"/>
      <c r="K2" s="22"/>
      <c r="L2" s="22"/>
      <c r="M2" s="22"/>
      <c r="N2" s="22"/>
      <c r="O2" s="225" t="s">
        <v>366</v>
      </c>
      <c r="P2" s="22"/>
    </row>
    <row r="3" spans="1:16" s="99" customFormat="1" ht="21.75" customHeight="1">
      <c r="A3" s="220"/>
      <c r="B3" s="220"/>
      <c r="C3" s="250" t="s">
        <v>370</v>
      </c>
      <c r="D3" s="251"/>
      <c r="E3" s="251"/>
      <c r="F3" s="252"/>
      <c r="G3" s="220"/>
      <c r="H3" s="220" t="s">
        <v>368</v>
      </c>
      <c r="I3" s="237" t="s">
        <v>1206</v>
      </c>
      <c r="J3" s="238"/>
      <c r="K3" s="238"/>
      <c r="L3" s="238"/>
      <c r="M3" s="238"/>
      <c r="N3" s="239"/>
      <c r="O3" s="240" t="s">
        <v>373</v>
      </c>
      <c r="P3" s="209"/>
    </row>
    <row r="4" spans="1:16" s="99" customFormat="1" ht="18.75" customHeight="1">
      <c r="A4" s="222" t="s">
        <v>365</v>
      </c>
      <c r="B4" s="223" t="s">
        <v>374</v>
      </c>
      <c r="C4" s="224" t="s">
        <v>371</v>
      </c>
      <c r="D4" s="224" t="s">
        <v>372</v>
      </c>
      <c r="E4" s="224" t="s">
        <v>275</v>
      </c>
      <c r="F4" s="224" t="s">
        <v>1190</v>
      </c>
      <c r="G4" s="223" t="s">
        <v>367</v>
      </c>
      <c r="H4" s="223" t="s">
        <v>1202</v>
      </c>
      <c r="I4" s="244" t="s">
        <v>1204</v>
      </c>
      <c r="J4" s="245"/>
      <c r="K4" s="245"/>
      <c r="L4" s="245"/>
      <c r="M4" s="245"/>
      <c r="N4" s="246"/>
      <c r="O4" s="241"/>
      <c r="P4" s="210"/>
    </row>
    <row r="5" spans="1:16" s="99" customFormat="1" ht="18.75" customHeight="1">
      <c r="A5" s="226"/>
      <c r="B5" s="227"/>
      <c r="C5" s="227"/>
      <c r="D5" s="227"/>
      <c r="E5" s="227"/>
      <c r="F5" s="227"/>
      <c r="G5" s="227"/>
      <c r="H5" s="227" t="s">
        <v>369</v>
      </c>
      <c r="I5" s="227" t="s">
        <v>4</v>
      </c>
      <c r="J5" s="222" t="s">
        <v>318</v>
      </c>
      <c r="K5" s="222" t="s">
        <v>319</v>
      </c>
      <c r="L5" s="222" t="s">
        <v>317</v>
      </c>
      <c r="M5" s="227" t="s">
        <v>8</v>
      </c>
      <c r="N5" s="227" t="s">
        <v>9</v>
      </c>
      <c r="O5" s="241"/>
      <c r="P5" s="210"/>
    </row>
    <row r="6" spans="1:16" s="7" customFormat="1" ht="18.75" customHeight="1">
      <c r="A6" s="228">
        <v>1</v>
      </c>
      <c r="B6" s="213" t="s">
        <v>935</v>
      </c>
      <c r="C6" s="213" t="s">
        <v>936</v>
      </c>
      <c r="D6" s="213" t="s">
        <v>936</v>
      </c>
      <c r="E6" s="213" t="s">
        <v>70</v>
      </c>
      <c r="F6" s="213" t="s">
        <v>72</v>
      </c>
      <c r="G6" s="213" t="s">
        <v>1188</v>
      </c>
      <c r="H6" s="78"/>
      <c r="I6" s="92"/>
      <c r="J6" s="92"/>
      <c r="K6" s="92"/>
      <c r="L6" s="92"/>
      <c r="M6" s="229"/>
      <c r="N6" s="215">
        <f>SUM(I6:M6)</f>
        <v>0</v>
      </c>
      <c r="O6" s="229"/>
      <c r="P6" s="211"/>
    </row>
    <row r="7" spans="1:16" s="7" customFormat="1" ht="18.75" customHeight="1">
      <c r="A7" s="228">
        <v>2</v>
      </c>
      <c r="B7" s="213" t="s">
        <v>947</v>
      </c>
      <c r="C7" s="213" t="s">
        <v>948</v>
      </c>
      <c r="D7" s="213" t="s">
        <v>949</v>
      </c>
      <c r="E7" s="213" t="s">
        <v>70</v>
      </c>
      <c r="F7" s="213" t="s">
        <v>71</v>
      </c>
      <c r="G7" s="213" t="s">
        <v>1188</v>
      </c>
      <c r="H7" s="78"/>
      <c r="I7" s="92"/>
      <c r="J7" s="92"/>
      <c r="K7" s="92"/>
      <c r="L7" s="92"/>
      <c r="M7" s="229"/>
      <c r="N7" s="215">
        <f t="shared" ref="N7:N70" si="0">SUM(I7:M7)</f>
        <v>0</v>
      </c>
      <c r="O7" s="229"/>
      <c r="P7" s="211"/>
    </row>
    <row r="8" spans="1:16" s="7" customFormat="1" ht="18.75" customHeight="1">
      <c r="A8" s="228">
        <v>3</v>
      </c>
      <c r="B8" s="213" t="s">
        <v>1075</v>
      </c>
      <c r="C8" s="213" t="s">
        <v>1076</v>
      </c>
      <c r="D8" s="213" t="s">
        <v>1077</v>
      </c>
      <c r="E8" s="213" t="s">
        <v>73</v>
      </c>
      <c r="F8" s="213" t="s">
        <v>74</v>
      </c>
      <c r="G8" s="213" t="s">
        <v>1188</v>
      </c>
      <c r="H8" s="78"/>
      <c r="I8" s="92"/>
      <c r="J8" s="92"/>
      <c r="K8" s="92"/>
      <c r="L8" s="92"/>
      <c r="M8" s="229"/>
      <c r="N8" s="215">
        <f t="shared" si="0"/>
        <v>0</v>
      </c>
      <c r="O8" s="229"/>
      <c r="P8" s="211"/>
    </row>
    <row r="9" spans="1:16" s="7" customFormat="1" ht="18.75" customHeight="1">
      <c r="A9" s="228">
        <v>4</v>
      </c>
      <c r="B9" s="213" t="s">
        <v>1070</v>
      </c>
      <c r="C9" s="213" t="s">
        <v>1071</v>
      </c>
      <c r="D9" s="213" t="s">
        <v>1072</v>
      </c>
      <c r="E9" s="213" t="s">
        <v>73</v>
      </c>
      <c r="F9" s="213" t="s">
        <v>74</v>
      </c>
      <c r="G9" s="213" t="s">
        <v>1188</v>
      </c>
      <c r="H9" s="78"/>
      <c r="I9" s="92"/>
      <c r="J9" s="92"/>
      <c r="K9" s="92"/>
      <c r="L9" s="92"/>
      <c r="M9" s="229"/>
      <c r="N9" s="215">
        <f t="shared" si="0"/>
        <v>0</v>
      </c>
      <c r="O9" s="229"/>
      <c r="P9" s="211"/>
    </row>
    <row r="10" spans="1:16" s="7" customFormat="1" ht="18.75" customHeight="1">
      <c r="A10" s="228">
        <v>5</v>
      </c>
      <c r="B10" s="213" t="s">
        <v>1073</v>
      </c>
      <c r="C10" s="213" t="s">
        <v>1074</v>
      </c>
      <c r="D10" s="213" t="s">
        <v>1074</v>
      </c>
      <c r="E10" s="213" t="s">
        <v>73</v>
      </c>
      <c r="F10" s="213" t="s">
        <v>74</v>
      </c>
      <c r="G10" s="213" t="s">
        <v>1188</v>
      </c>
      <c r="H10" s="78"/>
      <c r="I10" s="92"/>
      <c r="J10" s="92"/>
      <c r="K10" s="92"/>
      <c r="L10" s="92"/>
      <c r="M10" s="229"/>
      <c r="N10" s="215">
        <f t="shared" si="0"/>
        <v>0</v>
      </c>
      <c r="O10" s="229"/>
      <c r="P10" s="211"/>
    </row>
    <row r="11" spans="1:16" s="7" customFormat="1" ht="18.75" customHeight="1">
      <c r="A11" s="228">
        <v>6</v>
      </c>
      <c r="B11" s="213" t="s">
        <v>421</v>
      </c>
      <c r="C11" s="213" t="s">
        <v>422</v>
      </c>
      <c r="D11" s="213" t="s">
        <v>423</v>
      </c>
      <c r="E11" s="213" t="s">
        <v>70</v>
      </c>
      <c r="F11" s="213" t="s">
        <v>71</v>
      </c>
      <c r="G11" s="213" t="s">
        <v>401</v>
      </c>
      <c r="H11" s="78"/>
      <c r="I11" s="92"/>
      <c r="J11" s="92"/>
      <c r="K11" s="92"/>
      <c r="L11" s="92"/>
      <c r="M11" s="229"/>
      <c r="N11" s="215">
        <f t="shared" si="0"/>
        <v>0</v>
      </c>
      <c r="O11" s="229"/>
      <c r="P11" s="211"/>
    </row>
    <row r="12" spans="1:16" s="7" customFormat="1" ht="18.75" customHeight="1">
      <c r="A12" s="228">
        <v>7</v>
      </c>
      <c r="B12" s="213" t="s">
        <v>681</v>
      </c>
      <c r="C12" s="213" t="s">
        <v>682</v>
      </c>
      <c r="D12" s="213" t="s">
        <v>683</v>
      </c>
      <c r="E12" s="213" t="s">
        <v>93</v>
      </c>
      <c r="F12" s="213" t="s">
        <v>94</v>
      </c>
      <c r="G12" s="213" t="s">
        <v>401</v>
      </c>
      <c r="H12" s="78"/>
      <c r="I12" s="92"/>
      <c r="J12" s="92"/>
      <c r="K12" s="92"/>
      <c r="L12" s="92"/>
      <c r="M12" s="229"/>
      <c r="N12" s="215">
        <f t="shared" si="0"/>
        <v>0</v>
      </c>
      <c r="O12" s="229"/>
      <c r="P12" s="211"/>
    </row>
    <row r="13" spans="1:16" s="7" customFormat="1" ht="18.75" customHeight="1">
      <c r="A13" s="228">
        <v>8</v>
      </c>
      <c r="B13" s="213" t="s">
        <v>691</v>
      </c>
      <c r="C13" s="213" t="s">
        <v>692</v>
      </c>
      <c r="D13" s="213" t="s">
        <v>688</v>
      </c>
      <c r="E13" s="213" t="s">
        <v>93</v>
      </c>
      <c r="F13" s="213" t="s">
        <v>94</v>
      </c>
      <c r="G13" s="213" t="s">
        <v>401</v>
      </c>
      <c r="H13" s="78"/>
      <c r="I13" s="92"/>
      <c r="J13" s="92"/>
      <c r="K13" s="92"/>
      <c r="L13" s="92"/>
      <c r="M13" s="229"/>
      <c r="N13" s="215">
        <f t="shared" si="0"/>
        <v>0</v>
      </c>
      <c r="O13" s="229"/>
      <c r="P13" s="211"/>
    </row>
    <row r="14" spans="1:16" s="7" customFormat="1" ht="18.75" customHeight="1">
      <c r="A14" s="228">
        <v>9</v>
      </c>
      <c r="B14" s="213" t="s">
        <v>719</v>
      </c>
      <c r="C14" s="213" t="s">
        <v>692</v>
      </c>
      <c r="D14" s="213" t="s">
        <v>688</v>
      </c>
      <c r="E14" s="213" t="s">
        <v>93</v>
      </c>
      <c r="F14" s="213" t="s">
        <v>94</v>
      </c>
      <c r="G14" s="213" t="s">
        <v>401</v>
      </c>
      <c r="H14" s="78"/>
      <c r="I14" s="92"/>
      <c r="J14" s="92"/>
      <c r="K14" s="92"/>
      <c r="L14" s="92"/>
      <c r="M14" s="229"/>
      <c r="N14" s="215">
        <f t="shared" si="0"/>
        <v>0</v>
      </c>
      <c r="O14" s="229"/>
      <c r="P14" s="211"/>
    </row>
    <row r="15" spans="1:16" s="7" customFormat="1" ht="18.75" customHeight="1">
      <c r="A15" s="228">
        <v>10</v>
      </c>
      <c r="B15" s="213" t="s">
        <v>696</v>
      </c>
      <c r="C15" s="213" t="s">
        <v>697</v>
      </c>
      <c r="D15" s="213" t="s">
        <v>688</v>
      </c>
      <c r="E15" s="213" t="s">
        <v>93</v>
      </c>
      <c r="F15" s="213" t="s">
        <v>94</v>
      </c>
      <c r="G15" s="213" t="s">
        <v>401</v>
      </c>
      <c r="H15" s="78"/>
      <c r="I15" s="92"/>
      <c r="J15" s="92"/>
      <c r="K15" s="92"/>
      <c r="L15" s="92"/>
      <c r="M15" s="229"/>
      <c r="N15" s="215">
        <f t="shared" si="0"/>
        <v>0</v>
      </c>
      <c r="O15" s="229"/>
      <c r="P15" s="211"/>
    </row>
    <row r="16" spans="1:16" s="7" customFormat="1" ht="18.75" customHeight="1">
      <c r="A16" s="228">
        <v>11</v>
      </c>
      <c r="B16" s="213" t="s">
        <v>1124</v>
      </c>
      <c r="C16" s="213" t="s">
        <v>688</v>
      </c>
      <c r="D16" s="213" t="s">
        <v>688</v>
      </c>
      <c r="E16" s="213" t="s">
        <v>93</v>
      </c>
      <c r="F16" s="213" t="s">
        <v>94</v>
      </c>
      <c r="G16" s="213" t="s">
        <v>401</v>
      </c>
      <c r="H16" s="78"/>
      <c r="I16" s="92"/>
      <c r="J16" s="92"/>
      <c r="K16" s="92"/>
      <c r="L16" s="92"/>
      <c r="M16" s="229"/>
      <c r="N16" s="215">
        <f t="shared" si="0"/>
        <v>0</v>
      </c>
      <c r="O16" s="229"/>
      <c r="P16" s="211"/>
    </row>
    <row r="17" spans="1:16" s="7" customFormat="1" ht="18.75" customHeight="1">
      <c r="A17" s="228">
        <v>12</v>
      </c>
      <c r="B17" s="213" t="s">
        <v>686</v>
      </c>
      <c r="C17" s="213" t="s">
        <v>687</v>
      </c>
      <c r="D17" s="213" t="s">
        <v>688</v>
      </c>
      <c r="E17" s="213" t="s">
        <v>93</v>
      </c>
      <c r="F17" s="213" t="s">
        <v>94</v>
      </c>
      <c r="G17" s="213" t="s">
        <v>401</v>
      </c>
      <c r="H17" s="78"/>
      <c r="I17" s="92"/>
      <c r="J17" s="92"/>
      <c r="K17" s="92"/>
      <c r="L17" s="92"/>
      <c r="M17" s="229"/>
      <c r="N17" s="215">
        <f t="shared" si="0"/>
        <v>0</v>
      </c>
      <c r="O17" s="229"/>
      <c r="P17" s="211"/>
    </row>
    <row r="18" spans="1:16" s="7" customFormat="1" ht="18.75" customHeight="1">
      <c r="A18" s="228">
        <v>13</v>
      </c>
      <c r="B18" s="213" t="s">
        <v>698</v>
      </c>
      <c r="C18" s="213" t="s">
        <v>699</v>
      </c>
      <c r="D18" s="213" t="s">
        <v>688</v>
      </c>
      <c r="E18" s="213" t="s">
        <v>93</v>
      </c>
      <c r="F18" s="213" t="s">
        <v>94</v>
      </c>
      <c r="G18" s="213" t="s">
        <v>401</v>
      </c>
      <c r="H18" s="78"/>
      <c r="I18" s="92"/>
      <c r="J18" s="92"/>
      <c r="K18" s="92"/>
      <c r="L18" s="92"/>
      <c r="M18" s="229"/>
      <c r="N18" s="215">
        <f t="shared" si="0"/>
        <v>0</v>
      </c>
      <c r="O18" s="229"/>
      <c r="P18" s="211"/>
    </row>
    <row r="19" spans="1:16" s="7" customFormat="1" ht="18.75" customHeight="1">
      <c r="A19" s="228">
        <v>14</v>
      </c>
      <c r="B19" s="213" t="s">
        <v>713</v>
      </c>
      <c r="C19" s="213" t="s">
        <v>714</v>
      </c>
      <c r="D19" s="213" t="s">
        <v>707</v>
      </c>
      <c r="E19" s="213" t="s">
        <v>93</v>
      </c>
      <c r="F19" s="213" t="s">
        <v>94</v>
      </c>
      <c r="G19" s="213" t="s">
        <v>401</v>
      </c>
      <c r="H19" s="78"/>
      <c r="I19" s="92"/>
      <c r="J19" s="92"/>
      <c r="K19" s="92"/>
      <c r="L19" s="92"/>
      <c r="M19" s="229"/>
      <c r="N19" s="215">
        <f t="shared" si="0"/>
        <v>0</v>
      </c>
      <c r="O19" s="229"/>
      <c r="P19" s="211"/>
    </row>
    <row r="20" spans="1:16" s="7" customFormat="1" ht="18.75" customHeight="1">
      <c r="A20" s="228">
        <v>15</v>
      </c>
      <c r="B20" s="213" t="s">
        <v>705</v>
      </c>
      <c r="C20" s="213" t="s">
        <v>706</v>
      </c>
      <c r="D20" s="213" t="s">
        <v>707</v>
      </c>
      <c r="E20" s="213" t="s">
        <v>93</v>
      </c>
      <c r="F20" s="213" t="s">
        <v>94</v>
      </c>
      <c r="G20" s="213" t="s">
        <v>401</v>
      </c>
      <c r="H20" s="78"/>
      <c r="I20" s="92"/>
      <c r="J20" s="92"/>
      <c r="K20" s="92"/>
      <c r="L20" s="92"/>
      <c r="M20" s="229"/>
      <c r="N20" s="215">
        <f t="shared" si="0"/>
        <v>0</v>
      </c>
      <c r="O20" s="229"/>
      <c r="P20" s="211"/>
    </row>
    <row r="21" spans="1:16" s="7" customFormat="1" ht="18.75" customHeight="1">
      <c r="A21" s="228">
        <v>16</v>
      </c>
      <c r="B21" s="213" t="s">
        <v>726</v>
      </c>
      <c r="C21" s="213" t="s">
        <v>727</v>
      </c>
      <c r="D21" s="213" t="s">
        <v>395</v>
      </c>
      <c r="E21" s="213" t="s">
        <v>93</v>
      </c>
      <c r="F21" s="213" t="s">
        <v>94</v>
      </c>
      <c r="G21" s="213" t="s">
        <v>401</v>
      </c>
      <c r="H21" s="78"/>
      <c r="I21" s="92"/>
      <c r="J21" s="92"/>
      <c r="K21" s="92"/>
      <c r="L21" s="92"/>
      <c r="M21" s="229"/>
      <c r="N21" s="215">
        <f t="shared" si="0"/>
        <v>0</v>
      </c>
      <c r="O21" s="229"/>
      <c r="P21" s="211"/>
    </row>
    <row r="22" spans="1:16" s="7" customFormat="1" ht="18.75" customHeight="1">
      <c r="A22" s="228">
        <v>17</v>
      </c>
      <c r="B22" s="213" t="s">
        <v>722</v>
      </c>
      <c r="C22" s="213" t="s">
        <v>723</v>
      </c>
      <c r="D22" s="213" t="s">
        <v>395</v>
      </c>
      <c r="E22" s="213" t="s">
        <v>93</v>
      </c>
      <c r="F22" s="213" t="s">
        <v>94</v>
      </c>
      <c r="G22" s="213" t="s">
        <v>401</v>
      </c>
      <c r="H22" s="78"/>
      <c r="I22" s="92"/>
      <c r="J22" s="92"/>
      <c r="K22" s="92"/>
      <c r="L22" s="92"/>
      <c r="M22" s="229"/>
      <c r="N22" s="215">
        <f t="shared" si="0"/>
        <v>0</v>
      </c>
      <c r="O22" s="229"/>
      <c r="P22" s="211"/>
    </row>
    <row r="23" spans="1:16" s="7" customFormat="1" ht="18.75" customHeight="1">
      <c r="A23" s="228">
        <v>18</v>
      </c>
      <c r="B23" s="213" t="s">
        <v>765</v>
      </c>
      <c r="C23" s="213" t="s">
        <v>766</v>
      </c>
      <c r="D23" s="213" t="s">
        <v>767</v>
      </c>
      <c r="E23" s="213" t="s">
        <v>121</v>
      </c>
      <c r="F23" s="213" t="s">
        <v>122</v>
      </c>
      <c r="G23" s="213" t="s">
        <v>401</v>
      </c>
      <c r="H23" s="78"/>
      <c r="I23" s="92"/>
      <c r="J23" s="92"/>
      <c r="K23" s="92"/>
      <c r="L23" s="92"/>
      <c r="M23" s="229"/>
      <c r="N23" s="215">
        <f t="shared" si="0"/>
        <v>0</v>
      </c>
      <c r="O23" s="229"/>
      <c r="P23" s="211"/>
    </row>
    <row r="24" spans="1:16" s="7" customFormat="1" ht="18.75" customHeight="1">
      <c r="A24" s="228">
        <v>19</v>
      </c>
      <c r="B24" s="213" t="s">
        <v>1128</v>
      </c>
      <c r="C24" s="213" t="s">
        <v>1129</v>
      </c>
      <c r="D24" s="213" t="s">
        <v>1130</v>
      </c>
      <c r="E24" s="213" t="s">
        <v>175</v>
      </c>
      <c r="F24" s="213" t="s">
        <v>176</v>
      </c>
      <c r="G24" s="213" t="s">
        <v>401</v>
      </c>
      <c r="H24" s="78"/>
      <c r="I24" s="92"/>
      <c r="J24" s="92"/>
      <c r="K24" s="92"/>
      <c r="L24" s="92"/>
      <c r="M24" s="229"/>
      <c r="N24" s="215">
        <f t="shared" si="0"/>
        <v>0</v>
      </c>
      <c r="O24" s="229"/>
      <c r="P24" s="211"/>
    </row>
    <row r="25" spans="1:16" s="7" customFormat="1" ht="18.75" customHeight="1">
      <c r="A25" s="228">
        <v>20</v>
      </c>
      <c r="B25" s="213" t="s">
        <v>670</v>
      </c>
      <c r="C25" s="213" t="s">
        <v>571</v>
      </c>
      <c r="D25" s="213" t="s">
        <v>572</v>
      </c>
      <c r="E25" s="213" t="s">
        <v>175</v>
      </c>
      <c r="F25" s="213" t="s">
        <v>176</v>
      </c>
      <c r="G25" s="213" t="s">
        <v>401</v>
      </c>
      <c r="H25" s="78"/>
      <c r="I25" s="92"/>
      <c r="J25" s="92"/>
      <c r="K25" s="92"/>
      <c r="L25" s="92"/>
      <c r="M25" s="229"/>
      <c r="N25" s="215">
        <f t="shared" si="0"/>
        <v>0</v>
      </c>
      <c r="O25" s="229"/>
      <c r="P25" s="211"/>
    </row>
    <row r="26" spans="1:16" s="7" customFormat="1" ht="18.75" customHeight="1">
      <c r="A26" s="228">
        <v>21</v>
      </c>
      <c r="B26" s="213" t="s">
        <v>671</v>
      </c>
      <c r="C26" s="213" t="s">
        <v>571</v>
      </c>
      <c r="D26" s="213" t="s">
        <v>572</v>
      </c>
      <c r="E26" s="213" t="s">
        <v>175</v>
      </c>
      <c r="F26" s="213" t="s">
        <v>176</v>
      </c>
      <c r="G26" s="213" t="s">
        <v>401</v>
      </c>
      <c r="H26" s="78"/>
      <c r="I26" s="92"/>
      <c r="J26" s="92"/>
      <c r="K26" s="92"/>
      <c r="L26" s="92"/>
      <c r="M26" s="229"/>
      <c r="N26" s="215">
        <f t="shared" si="0"/>
        <v>0</v>
      </c>
      <c r="O26" s="229"/>
      <c r="P26" s="211"/>
    </row>
    <row r="27" spans="1:16" s="7" customFormat="1" ht="18.75" customHeight="1">
      <c r="A27" s="228">
        <v>22</v>
      </c>
      <c r="B27" s="213" t="s">
        <v>672</v>
      </c>
      <c r="C27" s="213" t="s">
        <v>571</v>
      </c>
      <c r="D27" s="213" t="s">
        <v>572</v>
      </c>
      <c r="E27" s="213" t="s">
        <v>175</v>
      </c>
      <c r="F27" s="213" t="s">
        <v>176</v>
      </c>
      <c r="G27" s="213" t="s">
        <v>401</v>
      </c>
      <c r="H27" s="78"/>
      <c r="I27" s="92"/>
      <c r="J27" s="92"/>
      <c r="K27" s="92"/>
      <c r="L27" s="92"/>
      <c r="M27" s="229"/>
      <c r="N27" s="215">
        <f t="shared" si="0"/>
        <v>0</v>
      </c>
      <c r="O27" s="229"/>
      <c r="P27" s="211"/>
    </row>
    <row r="28" spans="1:16" s="7" customFormat="1" ht="18.75" customHeight="1">
      <c r="A28" s="228">
        <v>23</v>
      </c>
      <c r="B28" s="213" t="s">
        <v>942</v>
      </c>
      <c r="C28" s="213" t="s">
        <v>571</v>
      </c>
      <c r="D28" s="213" t="s">
        <v>572</v>
      </c>
      <c r="E28" s="213" t="s">
        <v>175</v>
      </c>
      <c r="F28" s="213" t="s">
        <v>176</v>
      </c>
      <c r="G28" s="213" t="s">
        <v>401</v>
      </c>
      <c r="H28" s="78"/>
      <c r="I28" s="92"/>
      <c r="J28" s="92"/>
      <c r="K28" s="92"/>
      <c r="L28" s="92"/>
      <c r="M28" s="229"/>
      <c r="N28" s="215">
        <f t="shared" si="0"/>
        <v>0</v>
      </c>
      <c r="O28" s="229"/>
      <c r="P28" s="211"/>
    </row>
    <row r="29" spans="1:16" s="7" customFormat="1" ht="18.75" customHeight="1">
      <c r="A29" s="228">
        <v>24</v>
      </c>
      <c r="B29" s="213" t="s">
        <v>675</v>
      </c>
      <c r="C29" s="213" t="s">
        <v>676</v>
      </c>
      <c r="D29" s="213" t="s">
        <v>572</v>
      </c>
      <c r="E29" s="213" t="s">
        <v>175</v>
      </c>
      <c r="F29" s="213" t="s">
        <v>176</v>
      </c>
      <c r="G29" s="213" t="s">
        <v>401</v>
      </c>
      <c r="H29" s="78"/>
      <c r="I29" s="92"/>
      <c r="J29" s="92"/>
      <c r="K29" s="92"/>
      <c r="L29" s="92"/>
      <c r="M29" s="229"/>
      <c r="N29" s="215">
        <f t="shared" si="0"/>
        <v>0</v>
      </c>
      <c r="O29" s="229"/>
      <c r="P29" s="211"/>
    </row>
    <row r="30" spans="1:16" s="7" customFormat="1" ht="18.75" customHeight="1">
      <c r="A30" s="228">
        <v>25</v>
      </c>
      <c r="B30" s="213" t="s">
        <v>677</v>
      </c>
      <c r="C30" s="213" t="s">
        <v>676</v>
      </c>
      <c r="D30" s="213" t="s">
        <v>572</v>
      </c>
      <c r="E30" s="213" t="s">
        <v>175</v>
      </c>
      <c r="F30" s="213" t="s">
        <v>176</v>
      </c>
      <c r="G30" s="213" t="s">
        <v>401</v>
      </c>
      <c r="H30" s="78"/>
      <c r="I30" s="92"/>
      <c r="J30" s="92"/>
      <c r="K30" s="92"/>
      <c r="L30" s="92"/>
      <c r="M30" s="229"/>
      <c r="N30" s="215">
        <f t="shared" si="0"/>
        <v>0</v>
      </c>
      <c r="O30" s="229"/>
      <c r="P30" s="211"/>
    </row>
    <row r="31" spans="1:16" s="7" customFormat="1" ht="18.75" customHeight="1">
      <c r="A31" s="228">
        <v>26</v>
      </c>
      <c r="B31" s="213" t="s">
        <v>705</v>
      </c>
      <c r="C31" s="213" t="s">
        <v>676</v>
      </c>
      <c r="D31" s="213" t="s">
        <v>572</v>
      </c>
      <c r="E31" s="213" t="s">
        <v>175</v>
      </c>
      <c r="F31" s="213" t="s">
        <v>176</v>
      </c>
      <c r="G31" s="213" t="s">
        <v>401</v>
      </c>
      <c r="H31" s="78"/>
      <c r="I31" s="92"/>
      <c r="J31" s="92"/>
      <c r="K31" s="92"/>
      <c r="L31" s="92"/>
      <c r="M31" s="229"/>
      <c r="N31" s="215">
        <f t="shared" si="0"/>
        <v>0</v>
      </c>
      <c r="O31" s="229"/>
      <c r="P31" s="211"/>
    </row>
    <row r="32" spans="1:16" s="7" customFormat="1" ht="18.75" customHeight="1">
      <c r="A32" s="228">
        <v>27</v>
      </c>
      <c r="B32" s="213" t="s">
        <v>977</v>
      </c>
      <c r="C32" s="213" t="s">
        <v>898</v>
      </c>
      <c r="D32" s="213" t="s">
        <v>572</v>
      </c>
      <c r="E32" s="213" t="s">
        <v>175</v>
      </c>
      <c r="F32" s="213" t="s">
        <v>176</v>
      </c>
      <c r="G32" s="213" t="s">
        <v>401</v>
      </c>
      <c r="H32" s="78"/>
      <c r="I32" s="92"/>
      <c r="J32" s="92"/>
      <c r="K32" s="92"/>
      <c r="L32" s="92"/>
      <c r="M32" s="229"/>
      <c r="N32" s="215">
        <f t="shared" si="0"/>
        <v>0</v>
      </c>
      <c r="O32" s="229"/>
      <c r="P32" s="211"/>
    </row>
    <row r="33" spans="1:16" s="7" customFormat="1" ht="18.75" customHeight="1">
      <c r="A33" s="228">
        <v>28</v>
      </c>
      <c r="B33" s="213" t="s">
        <v>1125</v>
      </c>
      <c r="C33" s="213" t="s">
        <v>1126</v>
      </c>
      <c r="D33" s="213" t="s">
        <v>1127</v>
      </c>
      <c r="E33" s="213" t="s">
        <v>175</v>
      </c>
      <c r="F33" s="213" t="s">
        <v>176</v>
      </c>
      <c r="G33" s="213" t="s">
        <v>401</v>
      </c>
      <c r="H33" s="78"/>
      <c r="I33" s="92"/>
      <c r="J33" s="92"/>
      <c r="K33" s="92"/>
      <c r="L33" s="92"/>
      <c r="M33" s="229"/>
      <c r="N33" s="215">
        <f t="shared" si="0"/>
        <v>0</v>
      </c>
      <c r="O33" s="229"/>
      <c r="P33" s="211"/>
    </row>
    <row r="34" spans="1:16" s="7" customFormat="1" ht="18.75" customHeight="1">
      <c r="A34" s="228">
        <v>29</v>
      </c>
      <c r="B34" s="213" t="s">
        <v>814</v>
      </c>
      <c r="C34" s="213" t="s">
        <v>815</v>
      </c>
      <c r="D34" s="213" t="s">
        <v>395</v>
      </c>
      <c r="E34" s="213" t="s">
        <v>175</v>
      </c>
      <c r="F34" s="213" t="s">
        <v>176</v>
      </c>
      <c r="G34" s="213" t="s">
        <v>401</v>
      </c>
      <c r="H34" s="78"/>
      <c r="I34" s="92"/>
      <c r="J34" s="92"/>
      <c r="K34" s="92"/>
      <c r="L34" s="92"/>
      <c r="M34" s="229"/>
      <c r="N34" s="215">
        <f t="shared" si="0"/>
        <v>0</v>
      </c>
      <c r="O34" s="229"/>
      <c r="P34" s="211"/>
    </row>
    <row r="35" spans="1:16" s="7" customFormat="1" ht="18.75" customHeight="1">
      <c r="A35" s="228">
        <v>30</v>
      </c>
      <c r="B35" s="213" t="s">
        <v>737</v>
      </c>
      <c r="C35" s="213" t="s">
        <v>738</v>
      </c>
      <c r="D35" s="213" t="s">
        <v>739</v>
      </c>
      <c r="E35" s="213" t="s">
        <v>208</v>
      </c>
      <c r="F35" s="213" t="s">
        <v>209</v>
      </c>
      <c r="G35" s="213" t="s">
        <v>401</v>
      </c>
      <c r="H35" s="78"/>
      <c r="I35" s="92"/>
      <c r="J35" s="92"/>
      <c r="K35" s="92"/>
      <c r="L35" s="92"/>
      <c r="M35" s="229"/>
      <c r="N35" s="215">
        <f t="shared" si="0"/>
        <v>0</v>
      </c>
      <c r="O35" s="229"/>
      <c r="P35" s="211"/>
    </row>
    <row r="36" spans="1:16" s="7" customFormat="1" ht="18.75" customHeight="1">
      <c r="A36" s="228">
        <v>31</v>
      </c>
      <c r="B36" s="213" t="s">
        <v>1117</v>
      </c>
      <c r="C36" s="213" t="s">
        <v>1118</v>
      </c>
      <c r="D36" s="213" t="s">
        <v>1119</v>
      </c>
      <c r="E36" s="213" t="s">
        <v>208</v>
      </c>
      <c r="F36" s="213" t="s">
        <v>209</v>
      </c>
      <c r="G36" s="213" t="s">
        <v>401</v>
      </c>
      <c r="H36" s="78"/>
      <c r="I36" s="92"/>
      <c r="J36" s="92"/>
      <c r="K36" s="92"/>
      <c r="L36" s="92"/>
      <c r="M36" s="229"/>
      <c r="N36" s="215">
        <f t="shared" si="0"/>
        <v>0</v>
      </c>
      <c r="O36" s="229"/>
      <c r="P36" s="211"/>
    </row>
    <row r="37" spans="1:16" s="7" customFormat="1" ht="18.75" customHeight="1">
      <c r="A37" s="228">
        <v>32</v>
      </c>
      <c r="B37" s="213" t="s">
        <v>748</v>
      </c>
      <c r="C37" s="213" t="s">
        <v>749</v>
      </c>
      <c r="D37" s="213" t="s">
        <v>395</v>
      </c>
      <c r="E37" s="213" t="s">
        <v>208</v>
      </c>
      <c r="F37" s="213" t="s">
        <v>209</v>
      </c>
      <c r="G37" s="213" t="s">
        <v>401</v>
      </c>
      <c r="H37" s="78"/>
      <c r="I37" s="92"/>
      <c r="J37" s="92"/>
      <c r="K37" s="92"/>
      <c r="L37" s="92"/>
      <c r="M37" s="229"/>
      <c r="N37" s="215">
        <f t="shared" si="0"/>
        <v>0</v>
      </c>
      <c r="O37" s="229"/>
      <c r="P37" s="211"/>
    </row>
    <row r="38" spans="1:16" s="7" customFormat="1" ht="18.75" customHeight="1">
      <c r="A38" s="228">
        <v>33</v>
      </c>
      <c r="B38" s="213" t="s">
        <v>730</v>
      </c>
      <c r="C38" s="213" t="s">
        <v>731</v>
      </c>
      <c r="D38" s="213" t="s">
        <v>395</v>
      </c>
      <c r="E38" s="213" t="s">
        <v>208</v>
      </c>
      <c r="F38" s="213" t="s">
        <v>209</v>
      </c>
      <c r="G38" s="213" t="s">
        <v>401</v>
      </c>
      <c r="H38" s="78"/>
      <c r="I38" s="92"/>
      <c r="J38" s="92"/>
      <c r="K38" s="92"/>
      <c r="L38" s="92"/>
      <c r="M38" s="229"/>
      <c r="N38" s="215">
        <f t="shared" si="0"/>
        <v>0</v>
      </c>
      <c r="O38" s="229"/>
      <c r="P38" s="211"/>
    </row>
    <row r="39" spans="1:16" s="7" customFormat="1" ht="18.75" customHeight="1">
      <c r="A39" s="228">
        <v>34</v>
      </c>
      <c r="B39" s="213" t="s">
        <v>963</v>
      </c>
      <c r="C39" s="213" t="s">
        <v>964</v>
      </c>
      <c r="D39" s="213" t="s">
        <v>685</v>
      </c>
      <c r="E39" s="213" t="s">
        <v>213</v>
      </c>
      <c r="F39" s="213" t="s">
        <v>214</v>
      </c>
      <c r="G39" s="213" t="s">
        <v>401</v>
      </c>
      <c r="H39" s="78"/>
      <c r="I39" s="92"/>
      <c r="J39" s="92"/>
      <c r="K39" s="92"/>
      <c r="L39" s="92"/>
      <c r="M39" s="229"/>
      <c r="N39" s="215">
        <f t="shared" si="0"/>
        <v>0</v>
      </c>
      <c r="O39" s="229"/>
      <c r="P39" s="211"/>
    </row>
    <row r="40" spans="1:16" s="7" customFormat="1" ht="18.75" customHeight="1">
      <c r="A40" s="228">
        <v>35</v>
      </c>
      <c r="B40" s="213" t="s">
        <v>684</v>
      </c>
      <c r="C40" s="213" t="s">
        <v>679</v>
      </c>
      <c r="D40" s="213" t="s">
        <v>685</v>
      </c>
      <c r="E40" s="213" t="s">
        <v>213</v>
      </c>
      <c r="F40" s="213" t="s">
        <v>214</v>
      </c>
      <c r="G40" s="213" t="s">
        <v>401</v>
      </c>
      <c r="H40" s="78"/>
      <c r="I40" s="92"/>
      <c r="J40" s="92"/>
      <c r="K40" s="92"/>
      <c r="L40" s="92"/>
      <c r="M40" s="229"/>
      <c r="N40" s="215">
        <f t="shared" si="0"/>
        <v>0</v>
      </c>
      <c r="O40" s="229"/>
      <c r="P40" s="211"/>
    </row>
    <row r="41" spans="1:16" s="7" customFormat="1" ht="18.75" customHeight="1">
      <c r="A41" s="228">
        <v>36</v>
      </c>
      <c r="B41" s="213" t="s">
        <v>1191</v>
      </c>
      <c r="C41" s="213" t="s">
        <v>1122</v>
      </c>
      <c r="D41" s="213" t="s">
        <v>1123</v>
      </c>
      <c r="E41" s="213" t="s">
        <v>213</v>
      </c>
      <c r="F41" s="213" t="s">
        <v>214</v>
      </c>
      <c r="G41" s="213" t="s">
        <v>401</v>
      </c>
      <c r="H41" s="78"/>
      <c r="I41" s="92"/>
      <c r="J41" s="92"/>
      <c r="K41" s="92"/>
      <c r="L41" s="92"/>
      <c r="M41" s="229"/>
      <c r="N41" s="215">
        <f t="shared" si="0"/>
        <v>0</v>
      </c>
      <c r="O41" s="229"/>
      <c r="P41" s="211"/>
    </row>
    <row r="42" spans="1:16" s="7" customFormat="1" ht="18.75" customHeight="1">
      <c r="A42" s="228">
        <v>37</v>
      </c>
      <c r="B42" s="213" t="s">
        <v>831</v>
      </c>
      <c r="C42" s="213" t="s">
        <v>832</v>
      </c>
      <c r="D42" s="213" t="s">
        <v>833</v>
      </c>
      <c r="E42" s="213" t="s">
        <v>213</v>
      </c>
      <c r="F42" s="213" t="s">
        <v>214</v>
      </c>
      <c r="G42" s="213" t="s">
        <v>401</v>
      </c>
      <c r="H42" s="78"/>
      <c r="I42" s="92"/>
      <c r="J42" s="92"/>
      <c r="K42" s="92"/>
      <c r="L42" s="92"/>
      <c r="M42" s="229"/>
      <c r="N42" s="215">
        <f t="shared" si="0"/>
        <v>0</v>
      </c>
      <c r="O42" s="229"/>
      <c r="P42" s="211"/>
    </row>
    <row r="43" spans="1:16" s="7" customFormat="1" ht="18.75" customHeight="1">
      <c r="A43" s="228">
        <v>38</v>
      </c>
      <c r="B43" s="213" t="s">
        <v>693</v>
      </c>
      <c r="C43" s="213" t="s">
        <v>694</v>
      </c>
      <c r="D43" s="213" t="s">
        <v>695</v>
      </c>
      <c r="E43" s="213" t="s">
        <v>213</v>
      </c>
      <c r="F43" s="213" t="s">
        <v>214</v>
      </c>
      <c r="G43" s="213" t="s">
        <v>401</v>
      </c>
      <c r="H43" s="78"/>
      <c r="I43" s="92"/>
      <c r="J43" s="92"/>
      <c r="K43" s="92"/>
      <c r="L43" s="92"/>
      <c r="M43" s="229"/>
      <c r="N43" s="215">
        <f t="shared" si="0"/>
        <v>0</v>
      </c>
      <c r="O43" s="229"/>
      <c r="P43" s="211"/>
    </row>
    <row r="44" spans="1:16" s="7" customFormat="1" ht="18.75" customHeight="1">
      <c r="A44" s="228">
        <v>39</v>
      </c>
      <c r="B44" s="213" t="s">
        <v>757</v>
      </c>
      <c r="C44" s="213" t="s">
        <v>758</v>
      </c>
      <c r="D44" s="213" t="s">
        <v>755</v>
      </c>
      <c r="E44" s="213" t="s">
        <v>213</v>
      </c>
      <c r="F44" s="213" t="s">
        <v>214</v>
      </c>
      <c r="G44" s="213" t="s">
        <v>401</v>
      </c>
      <c r="H44" s="78"/>
      <c r="I44" s="92"/>
      <c r="J44" s="92"/>
      <c r="K44" s="92"/>
      <c r="L44" s="92"/>
      <c r="M44" s="229"/>
      <c r="N44" s="215">
        <f t="shared" si="0"/>
        <v>0</v>
      </c>
      <c r="O44" s="229"/>
      <c r="P44" s="211"/>
    </row>
    <row r="45" spans="1:16" s="7" customFormat="1" ht="18.75" customHeight="1">
      <c r="A45" s="228">
        <v>40</v>
      </c>
      <c r="B45" s="213" t="s">
        <v>753</v>
      </c>
      <c r="C45" s="213" t="s">
        <v>754</v>
      </c>
      <c r="D45" s="213" t="s">
        <v>755</v>
      </c>
      <c r="E45" s="213" t="s">
        <v>213</v>
      </c>
      <c r="F45" s="213" t="s">
        <v>214</v>
      </c>
      <c r="G45" s="213" t="s">
        <v>401</v>
      </c>
      <c r="H45" s="78"/>
      <c r="I45" s="92"/>
      <c r="J45" s="92"/>
      <c r="K45" s="92"/>
      <c r="L45" s="92"/>
      <c r="M45" s="229"/>
      <c r="N45" s="215">
        <f t="shared" si="0"/>
        <v>0</v>
      </c>
      <c r="O45" s="229"/>
      <c r="P45" s="211"/>
    </row>
    <row r="46" spans="1:16" s="7" customFormat="1" ht="18.75" customHeight="1">
      <c r="A46" s="228">
        <v>41</v>
      </c>
      <c r="B46" s="213" t="s">
        <v>756</v>
      </c>
      <c r="C46" s="213" t="s">
        <v>754</v>
      </c>
      <c r="D46" s="213" t="s">
        <v>755</v>
      </c>
      <c r="E46" s="213" t="s">
        <v>213</v>
      </c>
      <c r="F46" s="213" t="s">
        <v>214</v>
      </c>
      <c r="G46" s="213" t="s">
        <v>401</v>
      </c>
      <c r="H46" s="78"/>
      <c r="I46" s="92"/>
      <c r="J46" s="92"/>
      <c r="K46" s="92"/>
      <c r="L46" s="92"/>
      <c r="M46" s="229"/>
      <c r="N46" s="215">
        <f t="shared" si="0"/>
        <v>0</v>
      </c>
      <c r="O46" s="229"/>
      <c r="P46" s="211"/>
    </row>
    <row r="47" spans="1:16" s="7" customFormat="1" ht="18.75" customHeight="1">
      <c r="A47" s="228">
        <v>42</v>
      </c>
      <c r="B47" s="213" t="s">
        <v>708</v>
      </c>
      <c r="C47" s="213" t="s">
        <v>709</v>
      </c>
      <c r="D47" s="213" t="s">
        <v>710</v>
      </c>
      <c r="E47" s="213" t="s">
        <v>213</v>
      </c>
      <c r="F47" s="213" t="s">
        <v>214</v>
      </c>
      <c r="G47" s="213" t="s">
        <v>401</v>
      </c>
      <c r="H47" s="78"/>
      <c r="I47" s="92"/>
      <c r="J47" s="92"/>
      <c r="K47" s="92"/>
      <c r="L47" s="92"/>
      <c r="M47" s="229"/>
      <c r="N47" s="215">
        <f t="shared" si="0"/>
        <v>0</v>
      </c>
      <c r="O47" s="229"/>
      <c r="P47" s="211"/>
    </row>
    <row r="48" spans="1:16" s="7" customFormat="1" ht="18.75" customHeight="1">
      <c r="A48" s="228">
        <v>43</v>
      </c>
      <c r="B48" s="213" t="s">
        <v>678</v>
      </c>
      <c r="C48" s="213" t="s">
        <v>679</v>
      </c>
      <c r="D48" s="213" t="s">
        <v>680</v>
      </c>
      <c r="E48" s="213" t="s">
        <v>213</v>
      </c>
      <c r="F48" s="213" t="s">
        <v>214</v>
      </c>
      <c r="G48" s="213" t="s">
        <v>401</v>
      </c>
      <c r="H48" s="78"/>
      <c r="I48" s="92"/>
      <c r="J48" s="92"/>
      <c r="K48" s="92"/>
      <c r="L48" s="92"/>
      <c r="M48" s="229"/>
      <c r="N48" s="215">
        <f t="shared" si="0"/>
        <v>0</v>
      </c>
      <c r="O48" s="229"/>
      <c r="P48" s="211"/>
    </row>
    <row r="49" spans="1:16" s="7" customFormat="1" ht="18.75" customHeight="1">
      <c r="A49" s="228">
        <v>44</v>
      </c>
      <c r="B49" s="213" t="s">
        <v>1120</v>
      </c>
      <c r="C49" s="213" t="s">
        <v>1121</v>
      </c>
      <c r="D49" s="213" t="s">
        <v>395</v>
      </c>
      <c r="E49" s="213" t="s">
        <v>213</v>
      </c>
      <c r="F49" s="213" t="s">
        <v>214</v>
      </c>
      <c r="G49" s="213" t="s">
        <v>401</v>
      </c>
      <c r="H49" s="78"/>
      <c r="I49" s="92"/>
      <c r="J49" s="92"/>
      <c r="K49" s="92"/>
      <c r="L49" s="92"/>
      <c r="M49" s="229"/>
      <c r="N49" s="215">
        <f t="shared" si="0"/>
        <v>0</v>
      </c>
      <c r="O49" s="229"/>
      <c r="P49" s="211"/>
    </row>
    <row r="50" spans="1:16" s="7" customFormat="1" ht="18.75" customHeight="1">
      <c r="A50" s="228">
        <v>45</v>
      </c>
      <c r="B50" s="213" t="s">
        <v>892</v>
      </c>
      <c r="C50" s="213" t="s">
        <v>893</v>
      </c>
      <c r="D50" s="213" t="s">
        <v>395</v>
      </c>
      <c r="E50" s="213" t="s">
        <v>213</v>
      </c>
      <c r="F50" s="213" t="s">
        <v>1192</v>
      </c>
      <c r="G50" s="213" t="s">
        <v>401</v>
      </c>
      <c r="H50" s="78"/>
      <c r="I50" s="92"/>
      <c r="J50" s="92"/>
      <c r="K50" s="92"/>
      <c r="L50" s="92"/>
      <c r="M50" s="229"/>
      <c r="N50" s="215">
        <f t="shared" si="0"/>
        <v>0</v>
      </c>
      <c r="O50" s="229"/>
      <c r="P50" s="211"/>
    </row>
    <row r="51" spans="1:16" s="7" customFormat="1" ht="18.75" customHeight="1">
      <c r="A51" s="228">
        <v>46</v>
      </c>
      <c r="B51" s="213" t="s">
        <v>711</v>
      </c>
      <c r="C51" s="213" t="s">
        <v>712</v>
      </c>
      <c r="D51" s="213" t="s">
        <v>395</v>
      </c>
      <c r="E51" s="213" t="s">
        <v>213</v>
      </c>
      <c r="F51" s="213" t="s">
        <v>214</v>
      </c>
      <c r="G51" s="213" t="s">
        <v>401</v>
      </c>
      <c r="H51" s="78"/>
      <c r="I51" s="92"/>
      <c r="J51" s="92"/>
      <c r="K51" s="92"/>
      <c r="L51" s="92"/>
      <c r="M51" s="229"/>
      <c r="N51" s="215">
        <f t="shared" si="0"/>
        <v>0</v>
      </c>
      <c r="O51" s="229"/>
      <c r="P51" s="211"/>
    </row>
    <row r="52" spans="1:16" s="7" customFormat="1" ht="18.75" customHeight="1">
      <c r="A52" s="228">
        <v>47</v>
      </c>
      <c r="B52" s="213" t="s">
        <v>894</v>
      </c>
      <c r="C52" s="213" t="s">
        <v>712</v>
      </c>
      <c r="D52" s="213" t="s">
        <v>395</v>
      </c>
      <c r="E52" s="213" t="s">
        <v>213</v>
      </c>
      <c r="F52" s="213" t="s">
        <v>1192</v>
      </c>
      <c r="G52" s="213" t="s">
        <v>401</v>
      </c>
      <c r="H52" s="78"/>
      <c r="I52" s="92"/>
      <c r="J52" s="92"/>
      <c r="K52" s="92"/>
      <c r="L52" s="92"/>
      <c r="M52" s="229"/>
      <c r="N52" s="215">
        <f t="shared" si="0"/>
        <v>0</v>
      </c>
      <c r="O52" s="229"/>
      <c r="P52" s="211"/>
    </row>
    <row r="53" spans="1:16" s="7" customFormat="1" ht="18.75" customHeight="1">
      <c r="A53" s="228">
        <v>48</v>
      </c>
      <c r="B53" s="213" t="s">
        <v>703</v>
      </c>
      <c r="C53" s="213" t="s">
        <v>704</v>
      </c>
      <c r="D53" s="213" t="s">
        <v>395</v>
      </c>
      <c r="E53" s="213" t="s">
        <v>213</v>
      </c>
      <c r="F53" s="213" t="s">
        <v>214</v>
      </c>
      <c r="G53" s="213" t="s">
        <v>401</v>
      </c>
      <c r="H53" s="78"/>
      <c r="I53" s="92"/>
      <c r="J53" s="92"/>
      <c r="K53" s="92"/>
      <c r="L53" s="92"/>
      <c r="M53" s="229"/>
      <c r="N53" s="215">
        <f t="shared" si="0"/>
        <v>0</v>
      </c>
      <c r="O53" s="229"/>
      <c r="P53" s="211"/>
    </row>
    <row r="54" spans="1:16" s="7" customFormat="1" ht="18.75" customHeight="1">
      <c r="A54" s="228">
        <v>49</v>
      </c>
      <c r="B54" s="213" t="s">
        <v>750</v>
      </c>
      <c r="C54" s="213" t="s">
        <v>751</v>
      </c>
      <c r="D54" s="213" t="s">
        <v>744</v>
      </c>
      <c r="E54" s="213" t="s">
        <v>213</v>
      </c>
      <c r="F54" s="213" t="s">
        <v>214</v>
      </c>
      <c r="G54" s="213" t="s">
        <v>401</v>
      </c>
      <c r="H54" s="78"/>
      <c r="I54" s="92"/>
      <c r="J54" s="92"/>
      <c r="K54" s="92"/>
      <c r="L54" s="92"/>
      <c r="M54" s="229"/>
      <c r="N54" s="215">
        <f t="shared" si="0"/>
        <v>0</v>
      </c>
      <c r="O54" s="229"/>
      <c r="P54" s="211"/>
    </row>
    <row r="55" spans="1:16" s="7" customFormat="1" ht="18.75" customHeight="1">
      <c r="A55" s="228">
        <v>50</v>
      </c>
      <c r="B55" s="213" t="s">
        <v>965</v>
      </c>
      <c r="C55" s="213" t="s">
        <v>751</v>
      </c>
      <c r="D55" s="213" t="s">
        <v>744</v>
      </c>
      <c r="E55" s="213" t="s">
        <v>213</v>
      </c>
      <c r="F55" s="213" t="s">
        <v>214</v>
      </c>
      <c r="G55" s="213" t="s">
        <v>401</v>
      </c>
      <c r="H55" s="78"/>
      <c r="I55" s="92"/>
      <c r="J55" s="92"/>
      <c r="K55" s="92"/>
      <c r="L55" s="92"/>
      <c r="M55" s="229"/>
      <c r="N55" s="215">
        <f t="shared" si="0"/>
        <v>0</v>
      </c>
      <c r="O55" s="229"/>
      <c r="P55" s="211"/>
    </row>
    <row r="56" spans="1:16" s="7" customFormat="1" ht="18.75" customHeight="1">
      <c r="A56" s="228">
        <v>51</v>
      </c>
      <c r="B56" s="213" t="s">
        <v>743</v>
      </c>
      <c r="C56" s="213" t="s">
        <v>744</v>
      </c>
      <c r="D56" s="213" t="s">
        <v>744</v>
      </c>
      <c r="E56" s="213" t="s">
        <v>213</v>
      </c>
      <c r="F56" s="213" t="s">
        <v>214</v>
      </c>
      <c r="G56" s="213" t="s">
        <v>401</v>
      </c>
      <c r="H56" s="78"/>
      <c r="I56" s="92"/>
      <c r="J56" s="92"/>
      <c r="K56" s="92"/>
      <c r="L56" s="92"/>
      <c r="M56" s="229"/>
      <c r="N56" s="215">
        <f t="shared" si="0"/>
        <v>0</v>
      </c>
      <c r="O56" s="229"/>
      <c r="P56" s="211"/>
    </row>
    <row r="57" spans="1:16" s="7" customFormat="1" ht="18.75" customHeight="1">
      <c r="A57" s="228">
        <v>52</v>
      </c>
      <c r="B57" s="213" t="s">
        <v>715</v>
      </c>
      <c r="C57" s="213" t="s">
        <v>716</v>
      </c>
      <c r="D57" s="213" t="s">
        <v>717</v>
      </c>
      <c r="E57" s="213" t="s">
        <v>213</v>
      </c>
      <c r="F57" s="213" t="s">
        <v>214</v>
      </c>
      <c r="G57" s="213" t="s">
        <v>401</v>
      </c>
      <c r="H57" s="78"/>
      <c r="I57" s="92"/>
      <c r="J57" s="92"/>
      <c r="K57" s="92"/>
      <c r="L57" s="92"/>
      <c r="M57" s="229"/>
      <c r="N57" s="215">
        <f t="shared" si="0"/>
        <v>0</v>
      </c>
      <c r="O57" s="229"/>
      <c r="P57" s="211"/>
    </row>
    <row r="58" spans="1:16" s="7" customFormat="1" ht="18.75" customHeight="1">
      <c r="A58" s="228">
        <v>53</v>
      </c>
      <c r="B58" s="213" t="s">
        <v>719</v>
      </c>
      <c r="C58" s="213" t="s">
        <v>720</v>
      </c>
      <c r="D58" s="213" t="s">
        <v>721</v>
      </c>
      <c r="E58" s="213" t="s">
        <v>213</v>
      </c>
      <c r="F58" s="213" t="s">
        <v>214</v>
      </c>
      <c r="G58" s="213" t="s">
        <v>401</v>
      </c>
      <c r="H58" s="78"/>
      <c r="I58" s="92"/>
      <c r="J58" s="92"/>
      <c r="K58" s="92"/>
      <c r="L58" s="92"/>
      <c r="M58" s="229"/>
      <c r="N58" s="215">
        <f t="shared" si="0"/>
        <v>0</v>
      </c>
      <c r="O58" s="229"/>
      <c r="P58" s="211"/>
    </row>
    <row r="59" spans="1:16" s="7" customFormat="1" ht="18.75" customHeight="1">
      <c r="A59" s="228">
        <v>54</v>
      </c>
      <c r="B59" s="213" t="s">
        <v>745</v>
      </c>
      <c r="C59" s="213" t="s">
        <v>746</v>
      </c>
      <c r="D59" s="213" t="s">
        <v>747</v>
      </c>
      <c r="E59" s="213" t="s">
        <v>252</v>
      </c>
      <c r="F59" s="213" t="s">
        <v>253</v>
      </c>
      <c r="G59" s="213" t="s">
        <v>401</v>
      </c>
      <c r="H59" s="78"/>
      <c r="I59" s="92"/>
      <c r="J59" s="92"/>
      <c r="K59" s="92"/>
      <c r="L59" s="92"/>
      <c r="M59" s="229"/>
      <c r="N59" s="215">
        <f t="shared" si="0"/>
        <v>0</v>
      </c>
      <c r="O59" s="229"/>
      <c r="P59" s="211"/>
    </row>
    <row r="60" spans="1:16" s="7" customFormat="1" ht="18.75" customHeight="1">
      <c r="A60" s="228">
        <v>55</v>
      </c>
      <c r="B60" s="213" t="s">
        <v>759</v>
      </c>
      <c r="C60" s="213" t="s">
        <v>760</v>
      </c>
      <c r="D60" s="213" t="s">
        <v>761</v>
      </c>
      <c r="E60" s="213" t="s">
        <v>252</v>
      </c>
      <c r="F60" s="213" t="s">
        <v>253</v>
      </c>
      <c r="G60" s="213" t="s">
        <v>401</v>
      </c>
      <c r="H60" s="78"/>
      <c r="I60" s="92"/>
      <c r="J60" s="92"/>
      <c r="K60" s="92"/>
      <c r="L60" s="92"/>
      <c r="M60" s="229"/>
      <c r="N60" s="215">
        <f t="shared" si="0"/>
        <v>0</v>
      </c>
      <c r="O60" s="229"/>
      <c r="P60" s="211"/>
    </row>
    <row r="61" spans="1:16" s="7" customFormat="1" ht="18.75" customHeight="1">
      <c r="A61" s="228">
        <v>56</v>
      </c>
      <c r="B61" s="213" t="s">
        <v>962</v>
      </c>
      <c r="C61" s="213" t="s">
        <v>760</v>
      </c>
      <c r="D61" s="213" t="s">
        <v>761</v>
      </c>
      <c r="E61" s="213" t="s">
        <v>252</v>
      </c>
      <c r="F61" s="213" t="s">
        <v>253</v>
      </c>
      <c r="G61" s="213" t="s">
        <v>401</v>
      </c>
      <c r="H61" s="78"/>
      <c r="I61" s="92"/>
      <c r="J61" s="92"/>
      <c r="K61" s="92"/>
      <c r="L61" s="92"/>
      <c r="M61" s="229"/>
      <c r="N61" s="215">
        <f t="shared" si="0"/>
        <v>0</v>
      </c>
      <c r="O61" s="229"/>
      <c r="P61" s="211"/>
    </row>
    <row r="62" spans="1:16" s="7" customFormat="1" ht="18.75" customHeight="1">
      <c r="A62" s="228">
        <v>57</v>
      </c>
      <c r="B62" s="213" t="s">
        <v>903</v>
      </c>
      <c r="C62" s="213" t="s">
        <v>904</v>
      </c>
      <c r="D62" s="213" t="s">
        <v>905</v>
      </c>
      <c r="E62" s="213" t="s">
        <v>252</v>
      </c>
      <c r="F62" s="213" t="s">
        <v>253</v>
      </c>
      <c r="G62" s="213" t="s">
        <v>401</v>
      </c>
      <c r="H62" s="78"/>
      <c r="I62" s="92"/>
      <c r="J62" s="92"/>
      <c r="K62" s="92"/>
      <c r="L62" s="92"/>
      <c r="M62" s="229"/>
      <c r="N62" s="215">
        <f t="shared" si="0"/>
        <v>0</v>
      </c>
      <c r="O62" s="229"/>
      <c r="P62" s="211"/>
    </row>
    <row r="63" spans="1:16" s="7" customFormat="1" ht="18.75" customHeight="1">
      <c r="A63" s="228">
        <v>58</v>
      </c>
      <c r="B63" s="213" t="s">
        <v>718</v>
      </c>
      <c r="C63" s="213" t="s">
        <v>528</v>
      </c>
      <c r="D63" s="213" t="s">
        <v>395</v>
      </c>
      <c r="E63" s="213" t="s">
        <v>262</v>
      </c>
      <c r="F63" s="213" t="s">
        <v>263</v>
      </c>
      <c r="G63" s="213" t="s">
        <v>401</v>
      </c>
      <c r="H63" s="78"/>
      <c r="I63" s="92"/>
      <c r="J63" s="92"/>
      <c r="K63" s="92"/>
      <c r="L63" s="92"/>
      <c r="M63" s="229"/>
      <c r="N63" s="215">
        <f t="shared" si="0"/>
        <v>0</v>
      </c>
      <c r="O63" s="229"/>
      <c r="P63" s="211"/>
    </row>
    <row r="64" spans="1:16" s="7" customFormat="1" ht="18.75" customHeight="1">
      <c r="A64" s="228">
        <v>59</v>
      </c>
      <c r="B64" s="213" t="s">
        <v>724</v>
      </c>
      <c r="C64" s="213" t="s">
        <v>725</v>
      </c>
      <c r="D64" s="213" t="s">
        <v>395</v>
      </c>
      <c r="E64" s="213" t="s">
        <v>262</v>
      </c>
      <c r="F64" s="213" t="s">
        <v>263</v>
      </c>
      <c r="G64" s="213" t="s">
        <v>401</v>
      </c>
      <c r="H64" s="78"/>
      <c r="I64" s="92"/>
      <c r="J64" s="92"/>
      <c r="K64" s="92"/>
      <c r="L64" s="92"/>
      <c r="M64" s="229"/>
      <c r="N64" s="215">
        <f t="shared" si="0"/>
        <v>0</v>
      </c>
      <c r="O64" s="229"/>
      <c r="P64" s="211"/>
    </row>
    <row r="65" spans="1:16" s="7" customFormat="1" ht="18.75" customHeight="1">
      <c r="A65" s="228">
        <v>60</v>
      </c>
      <c r="B65" s="213" t="s">
        <v>728</v>
      </c>
      <c r="C65" s="213" t="s">
        <v>729</v>
      </c>
      <c r="D65" s="213" t="s">
        <v>395</v>
      </c>
      <c r="E65" s="213" t="s">
        <v>262</v>
      </c>
      <c r="F65" s="213" t="s">
        <v>263</v>
      </c>
      <c r="G65" s="213" t="s">
        <v>401</v>
      </c>
      <c r="H65" s="78"/>
      <c r="I65" s="92"/>
      <c r="J65" s="92"/>
      <c r="K65" s="92"/>
      <c r="L65" s="92"/>
      <c r="M65" s="229"/>
      <c r="N65" s="215">
        <f t="shared" si="0"/>
        <v>0</v>
      </c>
      <c r="O65" s="229"/>
      <c r="P65" s="211"/>
    </row>
    <row r="66" spans="1:16" s="7" customFormat="1" ht="18.75" customHeight="1">
      <c r="A66" s="228">
        <v>61</v>
      </c>
      <c r="B66" s="213" t="s">
        <v>433</v>
      </c>
      <c r="C66" s="213" t="s">
        <v>541</v>
      </c>
      <c r="D66" s="213" t="s">
        <v>752</v>
      </c>
      <c r="E66" s="213" t="s">
        <v>262</v>
      </c>
      <c r="F66" s="213" t="s">
        <v>263</v>
      </c>
      <c r="G66" s="213" t="s">
        <v>401</v>
      </c>
      <c r="H66" s="78"/>
      <c r="I66" s="92"/>
      <c r="J66" s="92"/>
      <c r="K66" s="92"/>
      <c r="L66" s="92"/>
      <c r="M66" s="229"/>
      <c r="N66" s="215">
        <f t="shared" si="0"/>
        <v>0</v>
      </c>
      <c r="O66" s="229"/>
      <c r="P66" s="211"/>
    </row>
    <row r="67" spans="1:16" s="7" customFormat="1" ht="18.75" customHeight="1">
      <c r="A67" s="228">
        <v>62</v>
      </c>
      <c r="B67" s="213" t="s">
        <v>784</v>
      </c>
      <c r="C67" s="213" t="s">
        <v>785</v>
      </c>
      <c r="D67" s="213" t="s">
        <v>786</v>
      </c>
      <c r="E67" s="213" t="s">
        <v>70</v>
      </c>
      <c r="F67" s="213" t="s">
        <v>71</v>
      </c>
      <c r="G67" s="213" t="s">
        <v>1183</v>
      </c>
      <c r="H67" s="78"/>
      <c r="I67" s="92"/>
      <c r="J67" s="92"/>
      <c r="K67" s="92"/>
      <c r="L67" s="92"/>
      <c r="M67" s="229"/>
      <c r="N67" s="215">
        <f t="shared" si="0"/>
        <v>0</v>
      </c>
      <c r="O67" s="229"/>
      <c r="P67" s="211"/>
    </row>
    <row r="68" spans="1:16" s="7" customFormat="1" ht="18.75" customHeight="1">
      <c r="A68" s="228">
        <v>63</v>
      </c>
      <c r="B68" s="213" t="s">
        <v>468</v>
      </c>
      <c r="C68" s="213" t="s">
        <v>469</v>
      </c>
      <c r="D68" s="213" t="s">
        <v>395</v>
      </c>
      <c r="E68" s="213" t="s">
        <v>145</v>
      </c>
      <c r="F68" s="213" t="s">
        <v>146</v>
      </c>
      <c r="G68" s="213" t="s">
        <v>1183</v>
      </c>
      <c r="H68" s="78"/>
      <c r="I68" s="92"/>
      <c r="J68" s="92"/>
      <c r="K68" s="92"/>
      <c r="L68" s="92"/>
      <c r="M68" s="229"/>
      <c r="N68" s="215">
        <f t="shared" si="0"/>
        <v>0</v>
      </c>
      <c r="O68" s="229"/>
      <c r="P68" s="211"/>
    </row>
    <row r="69" spans="1:16" s="7" customFormat="1" ht="18.75" customHeight="1">
      <c r="A69" s="228">
        <v>64</v>
      </c>
      <c r="B69" s="213" t="s">
        <v>782</v>
      </c>
      <c r="C69" s="213" t="s">
        <v>783</v>
      </c>
      <c r="D69" s="213" t="s">
        <v>783</v>
      </c>
      <c r="E69" s="213" t="s">
        <v>145</v>
      </c>
      <c r="F69" s="213" t="s">
        <v>146</v>
      </c>
      <c r="G69" s="213" t="s">
        <v>1183</v>
      </c>
      <c r="H69" s="78"/>
      <c r="I69" s="92"/>
      <c r="J69" s="92"/>
      <c r="K69" s="92"/>
      <c r="L69" s="92"/>
      <c r="M69" s="229"/>
      <c r="N69" s="215">
        <f t="shared" si="0"/>
        <v>0</v>
      </c>
      <c r="O69" s="229"/>
      <c r="P69" s="211"/>
    </row>
    <row r="70" spans="1:16" s="7" customFormat="1" ht="18.75" customHeight="1">
      <c r="A70" s="228">
        <v>65</v>
      </c>
      <c r="B70" s="213" t="s">
        <v>943</v>
      </c>
      <c r="C70" s="213" t="s">
        <v>783</v>
      </c>
      <c r="D70" s="213" t="s">
        <v>783</v>
      </c>
      <c r="E70" s="213" t="s">
        <v>145</v>
      </c>
      <c r="F70" s="213" t="s">
        <v>146</v>
      </c>
      <c r="G70" s="213" t="s">
        <v>1183</v>
      </c>
      <c r="H70" s="78"/>
      <c r="I70" s="92"/>
      <c r="J70" s="92"/>
      <c r="K70" s="92"/>
      <c r="L70" s="92"/>
      <c r="M70" s="229"/>
      <c r="N70" s="215">
        <f t="shared" si="0"/>
        <v>0</v>
      </c>
      <c r="O70" s="229"/>
      <c r="P70" s="211"/>
    </row>
    <row r="71" spans="1:16" s="7" customFormat="1" ht="18.75" customHeight="1">
      <c r="A71" s="228">
        <v>66</v>
      </c>
      <c r="B71" s="213" t="s">
        <v>793</v>
      </c>
      <c r="C71" s="213" t="s">
        <v>794</v>
      </c>
      <c r="D71" s="213" t="s">
        <v>795</v>
      </c>
      <c r="E71" s="213" t="s">
        <v>109</v>
      </c>
      <c r="F71" s="213" t="s">
        <v>110</v>
      </c>
      <c r="G71" s="213" t="s">
        <v>396</v>
      </c>
      <c r="H71" s="78"/>
      <c r="I71" s="92"/>
      <c r="J71" s="92"/>
      <c r="K71" s="92"/>
      <c r="L71" s="92"/>
      <c r="M71" s="229"/>
      <c r="N71" s="215">
        <f t="shared" ref="N71:N134" si="1">SUM(I71:M71)</f>
        <v>0</v>
      </c>
      <c r="O71" s="229"/>
      <c r="P71" s="211"/>
    </row>
    <row r="72" spans="1:16" s="7" customFormat="1" ht="18.75" customHeight="1">
      <c r="A72" s="228">
        <v>67</v>
      </c>
      <c r="B72" s="213" t="s">
        <v>1042</v>
      </c>
      <c r="C72" s="213" t="s">
        <v>1043</v>
      </c>
      <c r="D72" s="213" t="s">
        <v>1044</v>
      </c>
      <c r="E72" s="213" t="s">
        <v>198</v>
      </c>
      <c r="F72" s="213" t="s">
        <v>199</v>
      </c>
      <c r="G72" s="213" t="s">
        <v>396</v>
      </c>
      <c r="H72" s="78"/>
      <c r="I72" s="92"/>
      <c r="J72" s="92"/>
      <c r="K72" s="92"/>
      <c r="L72" s="92"/>
      <c r="M72" s="229"/>
      <c r="N72" s="215">
        <f t="shared" si="1"/>
        <v>0</v>
      </c>
      <c r="O72" s="229"/>
      <c r="P72" s="211"/>
    </row>
    <row r="73" spans="1:16" s="7" customFormat="1" ht="18.75" customHeight="1">
      <c r="A73" s="228">
        <v>68</v>
      </c>
      <c r="B73" s="213" t="s">
        <v>1145</v>
      </c>
      <c r="C73" s="213" t="s">
        <v>1146</v>
      </c>
      <c r="D73" s="213" t="s">
        <v>1147</v>
      </c>
      <c r="E73" s="213" t="s">
        <v>198</v>
      </c>
      <c r="F73" s="213" t="s">
        <v>199</v>
      </c>
      <c r="G73" s="213" t="s">
        <v>396</v>
      </c>
      <c r="H73" s="78"/>
      <c r="I73" s="92"/>
      <c r="J73" s="92"/>
      <c r="K73" s="92"/>
      <c r="L73" s="92"/>
      <c r="M73" s="229"/>
      <c r="N73" s="215">
        <f t="shared" si="1"/>
        <v>0</v>
      </c>
      <c r="O73" s="229"/>
      <c r="P73" s="211"/>
    </row>
    <row r="74" spans="1:16" s="7" customFormat="1" ht="18.75" customHeight="1">
      <c r="A74" s="228">
        <v>69</v>
      </c>
      <c r="B74" s="213" t="s">
        <v>997</v>
      </c>
      <c r="C74" s="213" t="s">
        <v>998</v>
      </c>
      <c r="D74" s="213" t="s">
        <v>999</v>
      </c>
      <c r="E74" s="213" t="s">
        <v>49</v>
      </c>
      <c r="F74" s="213" t="s">
        <v>50</v>
      </c>
      <c r="G74" s="213" t="s">
        <v>385</v>
      </c>
      <c r="H74" s="78"/>
      <c r="I74" s="92"/>
      <c r="J74" s="92"/>
      <c r="K74" s="92"/>
      <c r="L74" s="92"/>
      <c r="M74" s="229"/>
      <c r="N74" s="215">
        <f t="shared" si="1"/>
        <v>0</v>
      </c>
      <c r="O74" s="229"/>
      <c r="P74" s="211"/>
    </row>
    <row r="75" spans="1:16" s="7" customFormat="1" ht="18.75" customHeight="1">
      <c r="A75" s="228">
        <v>70</v>
      </c>
      <c r="B75" s="213" t="s">
        <v>1004</v>
      </c>
      <c r="C75" s="213" t="s">
        <v>1005</v>
      </c>
      <c r="D75" s="213" t="s">
        <v>928</v>
      </c>
      <c r="E75" s="213" t="s">
        <v>56</v>
      </c>
      <c r="F75" s="213" t="s">
        <v>57</v>
      </c>
      <c r="G75" s="213" t="s">
        <v>385</v>
      </c>
      <c r="H75" s="78"/>
      <c r="I75" s="92"/>
      <c r="J75" s="92"/>
      <c r="K75" s="92"/>
      <c r="L75" s="92"/>
      <c r="M75" s="229"/>
      <c r="N75" s="215">
        <f t="shared" si="1"/>
        <v>0</v>
      </c>
      <c r="O75" s="229"/>
      <c r="P75" s="211"/>
    </row>
    <row r="76" spans="1:16" s="7" customFormat="1" ht="18.75" customHeight="1">
      <c r="A76" s="228">
        <v>71</v>
      </c>
      <c r="B76" s="213" t="s">
        <v>1000</v>
      </c>
      <c r="C76" s="213" t="s">
        <v>1001</v>
      </c>
      <c r="D76" s="213" t="s">
        <v>928</v>
      </c>
      <c r="E76" s="213" t="s">
        <v>56</v>
      </c>
      <c r="F76" s="213" t="s">
        <v>57</v>
      </c>
      <c r="G76" s="213" t="s">
        <v>385</v>
      </c>
      <c r="H76" s="78"/>
      <c r="I76" s="92"/>
      <c r="J76" s="92"/>
      <c r="K76" s="92"/>
      <c r="L76" s="92"/>
      <c r="M76" s="229"/>
      <c r="N76" s="215">
        <f t="shared" si="1"/>
        <v>0</v>
      </c>
      <c r="O76" s="229"/>
      <c r="P76" s="211"/>
    </row>
    <row r="77" spans="1:16" s="7" customFormat="1" ht="18.75" customHeight="1">
      <c r="A77" s="228">
        <v>72</v>
      </c>
      <c r="B77" s="213" t="s">
        <v>926</v>
      </c>
      <c r="C77" s="213" t="s">
        <v>927</v>
      </c>
      <c r="D77" s="213" t="s">
        <v>928</v>
      </c>
      <c r="E77" s="213" t="s">
        <v>56</v>
      </c>
      <c r="F77" s="213" t="s">
        <v>57</v>
      </c>
      <c r="G77" s="213" t="s">
        <v>385</v>
      </c>
      <c r="H77" s="78"/>
      <c r="I77" s="92"/>
      <c r="J77" s="92"/>
      <c r="K77" s="92"/>
      <c r="L77" s="92"/>
      <c r="M77" s="229"/>
      <c r="N77" s="215">
        <f t="shared" si="1"/>
        <v>0</v>
      </c>
      <c r="O77" s="229"/>
      <c r="P77" s="211"/>
    </row>
    <row r="78" spans="1:16" s="7" customFormat="1" ht="18.75" customHeight="1">
      <c r="A78" s="228">
        <v>73</v>
      </c>
      <c r="B78" s="213" t="s">
        <v>513</v>
      </c>
      <c r="C78" s="213" t="s">
        <v>514</v>
      </c>
      <c r="D78" s="213" t="s">
        <v>515</v>
      </c>
      <c r="E78" s="213" t="s">
        <v>56</v>
      </c>
      <c r="F78" s="213" t="s">
        <v>57</v>
      </c>
      <c r="G78" s="213" t="s">
        <v>385</v>
      </c>
      <c r="H78" s="78"/>
      <c r="I78" s="92"/>
      <c r="J78" s="92"/>
      <c r="K78" s="92"/>
      <c r="L78" s="92"/>
      <c r="M78" s="229"/>
      <c r="N78" s="215">
        <f t="shared" si="1"/>
        <v>0</v>
      </c>
      <c r="O78" s="229"/>
      <c r="P78" s="211"/>
    </row>
    <row r="79" spans="1:16" s="7" customFormat="1" ht="18.75" customHeight="1">
      <c r="A79" s="228">
        <v>74</v>
      </c>
      <c r="B79" s="213" t="s">
        <v>516</v>
      </c>
      <c r="C79" s="213" t="s">
        <v>517</v>
      </c>
      <c r="D79" s="213" t="s">
        <v>515</v>
      </c>
      <c r="E79" s="213" t="s">
        <v>56</v>
      </c>
      <c r="F79" s="213" t="s">
        <v>57</v>
      </c>
      <c r="G79" s="213" t="s">
        <v>385</v>
      </c>
      <c r="H79" s="78"/>
      <c r="I79" s="92"/>
      <c r="J79" s="92"/>
      <c r="K79" s="92"/>
      <c r="L79" s="92"/>
      <c r="M79" s="229"/>
      <c r="N79" s="215">
        <f t="shared" si="1"/>
        <v>0</v>
      </c>
      <c r="O79" s="229"/>
      <c r="P79" s="211"/>
    </row>
    <row r="80" spans="1:16" s="7" customFormat="1" ht="18.75" customHeight="1">
      <c r="A80" s="228">
        <v>75</v>
      </c>
      <c r="B80" s="213" t="s">
        <v>1002</v>
      </c>
      <c r="C80" s="213" t="s">
        <v>1003</v>
      </c>
      <c r="D80" s="213" t="s">
        <v>515</v>
      </c>
      <c r="E80" s="213" t="s">
        <v>56</v>
      </c>
      <c r="F80" s="213" t="s">
        <v>57</v>
      </c>
      <c r="G80" s="213" t="s">
        <v>385</v>
      </c>
      <c r="H80" s="78"/>
      <c r="I80" s="92"/>
      <c r="J80" s="92"/>
      <c r="K80" s="92"/>
      <c r="L80" s="92"/>
      <c r="M80" s="229"/>
      <c r="N80" s="215">
        <f t="shared" si="1"/>
        <v>0</v>
      </c>
      <c r="O80" s="229"/>
      <c r="P80" s="211"/>
    </row>
    <row r="81" spans="1:16" s="7" customFormat="1" ht="18.75" customHeight="1">
      <c r="A81" s="228">
        <v>76</v>
      </c>
      <c r="B81" s="213" t="s">
        <v>507</v>
      </c>
      <c r="C81" s="213" t="s">
        <v>508</v>
      </c>
      <c r="D81" s="213" t="s">
        <v>509</v>
      </c>
      <c r="E81" s="213" t="s">
        <v>56</v>
      </c>
      <c r="F81" s="213" t="s">
        <v>57</v>
      </c>
      <c r="G81" s="213" t="s">
        <v>385</v>
      </c>
      <c r="H81" s="78"/>
      <c r="I81" s="92"/>
      <c r="J81" s="92"/>
      <c r="K81" s="92"/>
      <c r="L81" s="92"/>
      <c r="M81" s="229"/>
      <c r="N81" s="215">
        <f t="shared" si="1"/>
        <v>0</v>
      </c>
      <c r="O81" s="229"/>
      <c r="P81" s="211"/>
    </row>
    <row r="82" spans="1:16" s="7" customFormat="1" ht="18.75" customHeight="1">
      <c r="A82" s="228">
        <v>77</v>
      </c>
      <c r="B82" s="213" t="s">
        <v>791</v>
      </c>
      <c r="C82" s="213" t="s">
        <v>792</v>
      </c>
      <c r="D82" s="213" t="s">
        <v>792</v>
      </c>
      <c r="E82" s="213" t="s">
        <v>81</v>
      </c>
      <c r="F82" s="213" t="s">
        <v>82</v>
      </c>
      <c r="G82" s="213" t="s">
        <v>385</v>
      </c>
      <c r="H82" s="78"/>
      <c r="I82" s="92"/>
      <c r="J82" s="92"/>
      <c r="K82" s="92"/>
      <c r="L82" s="92"/>
      <c r="M82" s="229"/>
      <c r="N82" s="215">
        <f t="shared" si="1"/>
        <v>0</v>
      </c>
      <c r="O82" s="229"/>
      <c r="P82" s="211"/>
    </row>
    <row r="83" spans="1:16" s="7" customFormat="1" ht="18.75" customHeight="1">
      <c r="A83" s="228">
        <v>78</v>
      </c>
      <c r="B83" s="213" t="s">
        <v>825</v>
      </c>
      <c r="C83" s="213" t="s">
        <v>826</v>
      </c>
      <c r="D83" s="213" t="s">
        <v>827</v>
      </c>
      <c r="E83" s="213" t="s">
        <v>81</v>
      </c>
      <c r="F83" s="213" t="s">
        <v>82</v>
      </c>
      <c r="G83" s="213" t="s">
        <v>385</v>
      </c>
      <c r="H83" s="78"/>
      <c r="I83" s="92"/>
      <c r="J83" s="92"/>
      <c r="K83" s="92"/>
      <c r="L83" s="92"/>
      <c r="M83" s="229"/>
      <c r="N83" s="215">
        <f t="shared" si="1"/>
        <v>0</v>
      </c>
      <c r="O83" s="229"/>
      <c r="P83" s="211"/>
    </row>
    <row r="84" spans="1:16" s="7" customFormat="1" ht="18.75" customHeight="1">
      <c r="A84" s="228">
        <v>79</v>
      </c>
      <c r="B84" s="213" t="s">
        <v>914</v>
      </c>
      <c r="C84" s="213" t="s">
        <v>826</v>
      </c>
      <c r="D84" s="213" t="s">
        <v>827</v>
      </c>
      <c r="E84" s="213" t="s">
        <v>81</v>
      </c>
      <c r="F84" s="213" t="s">
        <v>82</v>
      </c>
      <c r="G84" s="213" t="s">
        <v>385</v>
      </c>
      <c r="H84" s="78"/>
      <c r="I84" s="92"/>
      <c r="J84" s="92"/>
      <c r="K84" s="92"/>
      <c r="L84" s="92"/>
      <c r="M84" s="229"/>
      <c r="N84" s="215">
        <f t="shared" si="1"/>
        <v>0</v>
      </c>
      <c r="O84" s="229"/>
      <c r="P84" s="211"/>
    </row>
    <row r="85" spans="1:16" s="7" customFormat="1" ht="18.75" customHeight="1">
      <c r="A85" s="228">
        <v>80</v>
      </c>
      <c r="B85" s="213" t="s">
        <v>838</v>
      </c>
      <c r="C85" s="213" t="s">
        <v>839</v>
      </c>
      <c r="D85" s="213" t="s">
        <v>827</v>
      </c>
      <c r="E85" s="213" t="s">
        <v>81</v>
      </c>
      <c r="F85" s="213" t="s">
        <v>82</v>
      </c>
      <c r="G85" s="213" t="s">
        <v>385</v>
      </c>
      <c r="H85" s="78"/>
      <c r="I85" s="92"/>
      <c r="J85" s="92"/>
      <c r="K85" s="92"/>
      <c r="L85" s="92"/>
      <c r="M85" s="229"/>
      <c r="N85" s="215">
        <f t="shared" si="1"/>
        <v>0</v>
      </c>
      <c r="O85" s="229"/>
      <c r="P85" s="211"/>
    </row>
    <row r="86" spans="1:16" s="7" customFormat="1" ht="18.75" customHeight="1">
      <c r="A86" s="228">
        <v>81</v>
      </c>
      <c r="B86" s="213" t="s">
        <v>1011</v>
      </c>
      <c r="C86" s="213" t="s">
        <v>1012</v>
      </c>
      <c r="D86" s="213" t="s">
        <v>827</v>
      </c>
      <c r="E86" s="213" t="s">
        <v>81</v>
      </c>
      <c r="F86" s="213" t="s">
        <v>82</v>
      </c>
      <c r="G86" s="213" t="s">
        <v>385</v>
      </c>
      <c r="H86" s="78"/>
      <c r="I86" s="92"/>
      <c r="J86" s="92"/>
      <c r="K86" s="92"/>
      <c r="L86" s="92"/>
      <c r="M86" s="229"/>
      <c r="N86" s="215">
        <f t="shared" si="1"/>
        <v>0</v>
      </c>
      <c r="O86" s="229"/>
      <c r="P86" s="211"/>
    </row>
    <row r="87" spans="1:16" s="7" customFormat="1" ht="18.75" customHeight="1">
      <c r="A87" s="228">
        <v>82</v>
      </c>
      <c r="B87" s="213" t="s">
        <v>473</v>
      </c>
      <c r="C87" s="213" t="s">
        <v>474</v>
      </c>
      <c r="D87" s="213" t="s">
        <v>395</v>
      </c>
      <c r="E87" s="213" t="s">
        <v>81</v>
      </c>
      <c r="F87" s="213" t="s">
        <v>82</v>
      </c>
      <c r="G87" s="213" t="s">
        <v>385</v>
      </c>
      <c r="H87" s="78"/>
      <c r="I87" s="92"/>
      <c r="J87" s="92"/>
      <c r="K87" s="92"/>
      <c r="L87" s="92"/>
      <c r="M87" s="229"/>
      <c r="N87" s="215">
        <f t="shared" si="1"/>
        <v>0</v>
      </c>
      <c r="O87" s="229"/>
      <c r="P87" s="211"/>
    </row>
    <row r="88" spans="1:16" s="7" customFormat="1" ht="18.75" customHeight="1">
      <c r="A88" s="228">
        <v>83</v>
      </c>
      <c r="B88" s="213" t="s">
        <v>1013</v>
      </c>
      <c r="C88" s="213" t="s">
        <v>1014</v>
      </c>
      <c r="D88" s="213" t="s">
        <v>395</v>
      </c>
      <c r="E88" s="213" t="s">
        <v>81</v>
      </c>
      <c r="F88" s="213" t="s">
        <v>82</v>
      </c>
      <c r="G88" s="213" t="s">
        <v>385</v>
      </c>
      <c r="H88" s="78"/>
      <c r="I88" s="92"/>
      <c r="J88" s="92"/>
      <c r="K88" s="92"/>
      <c r="L88" s="92"/>
      <c r="M88" s="229"/>
      <c r="N88" s="215">
        <f t="shared" si="1"/>
        <v>0</v>
      </c>
      <c r="O88" s="229"/>
      <c r="P88" s="211"/>
    </row>
    <row r="89" spans="1:16" s="7" customFormat="1" ht="18.75" customHeight="1">
      <c r="A89" s="228">
        <v>84</v>
      </c>
      <c r="B89" s="213" t="s">
        <v>510</v>
      </c>
      <c r="C89" s="213" t="s">
        <v>511</v>
      </c>
      <c r="D89" s="213" t="s">
        <v>512</v>
      </c>
      <c r="E89" s="213" t="s">
        <v>189</v>
      </c>
      <c r="F89" s="213" t="s">
        <v>190</v>
      </c>
      <c r="G89" s="213" t="s">
        <v>385</v>
      </c>
      <c r="H89" s="78"/>
      <c r="I89" s="92"/>
      <c r="J89" s="92"/>
      <c r="K89" s="92"/>
      <c r="L89" s="92"/>
      <c r="M89" s="229"/>
      <c r="N89" s="215">
        <f t="shared" si="1"/>
        <v>0</v>
      </c>
      <c r="O89" s="229"/>
      <c r="P89" s="211"/>
    </row>
    <row r="90" spans="1:16" s="7" customFormat="1" ht="18.75" customHeight="1">
      <c r="A90" s="228">
        <v>85</v>
      </c>
      <c r="B90" s="213" t="s">
        <v>993</v>
      </c>
      <c r="C90" s="213" t="s">
        <v>994</v>
      </c>
      <c r="D90" s="213" t="s">
        <v>992</v>
      </c>
      <c r="E90" s="213" t="s">
        <v>189</v>
      </c>
      <c r="F90" s="213" t="s">
        <v>190</v>
      </c>
      <c r="G90" s="213" t="s">
        <v>385</v>
      </c>
      <c r="H90" s="78"/>
      <c r="I90" s="92"/>
      <c r="J90" s="92"/>
      <c r="K90" s="92"/>
      <c r="L90" s="92"/>
      <c r="M90" s="229"/>
      <c r="N90" s="215">
        <f t="shared" si="1"/>
        <v>0</v>
      </c>
      <c r="O90" s="229"/>
      <c r="P90" s="211"/>
    </row>
    <row r="91" spans="1:16" s="7" customFormat="1" ht="18.75" customHeight="1">
      <c r="A91" s="228">
        <v>86</v>
      </c>
      <c r="B91" s="213" t="s">
        <v>991</v>
      </c>
      <c r="C91" s="213" t="s">
        <v>1193</v>
      </c>
      <c r="D91" s="213" t="s">
        <v>992</v>
      </c>
      <c r="E91" s="213" t="s">
        <v>189</v>
      </c>
      <c r="F91" s="213" t="s">
        <v>190</v>
      </c>
      <c r="G91" s="213" t="s">
        <v>385</v>
      </c>
      <c r="H91" s="78"/>
      <c r="I91" s="92"/>
      <c r="J91" s="92"/>
      <c r="K91" s="92"/>
      <c r="L91" s="92"/>
      <c r="M91" s="229"/>
      <c r="N91" s="215">
        <f t="shared" si="1"/>
        <v>0</v>
      </c>
      <c r="O91" s="229"/>
      <c r="P91" s="211"/>
    </row>
    <row r="92" spans="1:16" s="7" customFormat="1" ht="18.75" customHeight="1">
      <c r="A92" s="228">
        <v>87</v>
      </c>
      <c r="B92" s="213" t="s">
        <v>798</v>
      </c>
      <c r="C92" s="213" t="s">
        <v>799</v>
      </c>
      <c r="D92" s="213" t="s">
        <v>800</v>
      </c>
      <c r="E92" s="213" t="s">
        <v>129</v>
      </c>
      <c r="F92" s="213" t="s">
        <v>130</v>
      </c>
      <c r="G92" s="213" t="s">
        <v>391</v>
      </c>
      <c r="H92" s="78"/>
      <c r="I92" s="92"/>
      <c r="J92" s="92"/>
      <c r="K92" s="92"/>
      <c r="L92" s="92"/>
      <c r="M92" s="229"/>
      <c r="N92" s="215">
        <f t="shared" si="1"/>
        <v>0</v>
      </c>
      <c r="O92" s="229"/>
      <c r="P92" s="211"/>
    </row>
    <row r="93" spans="1:16" s="7" customFormat="1" ht="18.75" customHeight="1">
      <c r="A93" s="228">
        <v>88</v>
      </c>
      <c r="B93" s="213" t="s">
        <v>1161</v>
      </c>
      <c r="C93" s="213" t="s">
        <v>799</v>
      </c>
      <c r="D93" s="213" t="s">
        <v>800</v>
      </c>
      <c r="E93" s="213" t="s">
        <v>129</v>
      </c>
      <c r="F93" s="213" t="s">
        <v>130</v>
      </c>
      <c r="G93" s="213" t="s">
        <v>391</v>
      </c>
      <c r="H93" s="78"/>
      <c r="I93" s="92"/>
      <c r="J93" s="92"/>
      <c r="K93" s="92"/>
      <c r="L93" s="92"/>
      <c r="M93" s="229"/>
      <c r="N93" s="215">
        <f t="shared" si="1"/>
        <v>0</v>
      </c>
      <c r="O93" s="229"/>
      <c r="P93" s="211"/>
    </row>
    <row r="94" spans="1:16" s="7" customFormat="1" ht="18.75" customHeight="1">
      <c r="A94" s="228">
        <v>89</v>
      </c>
      <c r="B94" s="213" t="s">
        <v>1156</v>
      </c>
      <c r="C94" s="213" t="s">
        <v>1157</v>
      </c>
      <c r="D94" s="213" t="s">
        <v>1158</v>
      </c>
      <c r="E94" s="213" t="s">
        <v>129</v>
      </c>
      <c r="F94" s="213" t="s">
        <v>130</v>
      </c>
      <c r="G94" s="213" t="s">
        <v>391</v>
      </c>
      <c r="H94" s="78"/>
      <c r="I94" s="92"/>
      <c r="J94" s="92"/>
      <c r="K94" s="92"/>
      <c r="L94" s="92"/>
      <c r="M94" s="229"/>
      <c r="N94" s="215">
        <f t="shared" si="1"/>
        <v>0</v>
      </c>
      <c r="O94" s="229"/>
      <c r="P94" s="211"/>
    </row>
    <row r="95" spans="1:16" s="7" customFormat="1" ht="18.75" customHeight="1">
      <c r="A95" s="228">
        <v>90</v>
      </c>
      <c r="B95" s="213" t="s">
        <v>1159</v>
      </c>
      <c r="C95" s="213" t="s">
        <v>1160</v>
      </c>
      <c r="D95" s="213" t="s">
        <v>1158</v>
      </c>
      <c r="E95" s="213" t="s">
        <v>129</v>
      </c>
      <c r="F95" s="213" t="s">
        <v>130</v>
      </c>
      <c r="G95" s="213" t="s">
        <v>391</v>
      </c>
      <c r="H95" s="78"/>
      <c r="I95" s="92"/>
      <c r="J95" s="92"/>
      <c r="K95" s="92"/>
      <c r="L95" s="92"/>
      <c r="M95" s="229"/>
      <c r="N95" s="215">
        <f t="shared" si="1"/>
        <v>0</v>
      </c>
      <c r="O95" s="229"/>
      <c r="P95" s="211"/>
    </row>
    <row r="96" spans="1:16" s="7" customFormat="1" ht="18.75" customHeight="1">
      <c r="A96" s="228">
        <v>91</v>
      </c>
      <c r="B96" s="213" t="s">
        <v>1162</v>
      </c>
      <c r="C96" s="213" t="s">
        <v>1163</v>
      </c>
      <c r="D96" s="213" t="s">
        <v>395</v>
      </c>
      <c r="E96" s="213" t="s">
        <v>129</v>
      </c>
      <c r="F96" s="213" t="s">
        <v>130</v>
      </c>
      <c r="G96" s="213" t="s">
        <v>391</v>
      </c>
      <c r="H96" s="78"/>
      <c r="I96" s="92"/>
      <c r="J96" s="92"/>
      <c r="K96" s="92"/>
      <c r="L96" s="92"/>
      <c r="M96" s="229"/>
      <c r="N96" s="215">
        <f t="shared" si="1"/>
        <v>0</v>
      </c>
      <c r="O96" s="229"/>
      <c r="P96" s="211"/>
    </row>
    <row r="97" spans="1:16" s="7" customFormat="1" ht="18.75" customHeight="1">
      <c r="A97" s="228">
        <v>92</v>
      </c>
      <c r="B97" s="213" t="s">
        <v>1165</v>
      </c>
      <c r="C97" s="213" t="s">
        <v>1166</v>
      </c>
      <c r="D97" s="213" t="s">
        <v>429</v>
      </c>
      <c r="E97" s="213" t="s">
        <v>129</v>
      </c>
      <c r="F97" s="213" t="s">
        <v>130</v>
      </c>
      <c r="G97" s="213" t="s">
        <v>391</v>
      </c>
      <c r="H97" s="78"/>
      <c r="I97" s="92"/>
      <c r="J97" s="92"/>
      <c r="K97" s="92"/>
      <c r="L97" s="92"/>
      <c r="M97" s="229"/>
      <c r="N97" s="215">
        <f t="shared" si="1"/>
        <v>0</v>
      </c>
      <c r="O97" s="229"/>
      <c r="P97" s="211"/>
    </row>
    <row r="98" spans="1:16" s="7" customFormat="1" ht="18.75" customHeight="1">
      <c r="A98" s="228">
        <v>93</v>
      </c>
      <c r="B98" s="213" t="s">
        <v>427</v>
      </c>
      <c r="C98" s="213" t="s">
        <v>428</v>
      </c>
      <c r="D98" s="213" t="s">
        <v>429</v>
      </c>
      <c r="E98" s="213" t="s">
        <v>129</v>
      </c>
      <c r="F98" s="213" t="s">
        <v>130</v>
      </c>
      <c r="G98" s="213" t="s">
        <v>391</v>
      </c>
      <c r="H98" s="78"/>
      <c r="I98" s="92"/>
      <c r="J98" s="92"/>
      <c r="K98" s="92"/>
      <c r="L98" s="92"/>
      <c r="M98" s="229"/>
      <c r="N98" s="215">
        <f t="shared" si="1"/>
        <v>0</v>
      </c>
      <c r="O98" s="229"/>
      <c r="P98" s="211"/>
    </row>
    <row r="99" spans="1:16" s="7" customFormat="1" ht="18.75" customHeight="1">
      <c r="A99" s="228">
        <v>94</v>
      </c>
      <c r="B99" s="213" t="s">
        <v>1164</v>
      </c>
      <c r="C99" s="213" t="s">
        <v>1163</v>
      </c>
      <c r="D99" s="213" t="s">
        <v>429</v>
      </c>
      <c r="E99" s="213" t="s">
        <v>129</v>
      </c>
      <c r="F99" s="213" t="s">
        <v>130</v>
      </c>
      <c r="G99" s="213" t="s">
        <v>391</v>
      </c>
      <c r="H99" s="78"/>
      <c r="I99" s="92"/>
      <c r="J99" s="92"/>
      <c r="K99" s="92"/>
      <c r="L99" s="92"/>
      <c r="M99" s="229"/>
      <c r="N99" s="215">
        <f t="shared" si="1"/>
        <v>0</v>
      </c>
      <c r="O99" s="229"/>
      <c r="P99" s="211"/>
    </row>
    <row r="100" spans="1:16" s="7" customFormat="1" ht="18.75" customHeight="1">
      <c r="A100" s="228">
        <v>95</v>
      </c>
      <c r="B100" s="213" t="s">
        <v>801</v>
      </c>
      <c r="C100" s="213" t="s">
        <v>802</v>
      </c>
      <c r="D100" s="213" t="s">
        <v>803</v>
      </c>
      <c r="E100" s="213" t="s">
        <v>162</v>
      </c>
      <c r="F100" s="213" t="s">
        <v>163</v>
      </c>
      <c r="G100" s="213" t="s">
        <v>391</v>
      </c>
      <c r="H100" s="78"/>
      <c r="I100" s="92"/>
      <c r="J100" s="92"/>
      <c r="K100" s="92"/>
      <c r="L100" s="92"/>
      <c r="M100" s="229"/>
      <c r="N100" s="215">
        <f t="shared" si="1"/>
        <v>0</v>
      </c>
      <c r="O100" s="229"/>
      <c r="P100" s="211"/>
    </row>
    <row r="101" spans="1:16" s="7" customFormat="1" ht="18.75" customHeight="1">
      <c r="A101" s="228">
        <v>96</v>
      </c>
      <c r="B101" s="213" t="s">
        <v>1055</v>
      </c>
      <c r="C101" s="213" t="s">
        <v>1056</v>
      </c>
      <c r="D101" s="213" t="s">
        <v>1057</v>
      </c>
      <c r="E101" s="213" t="s">
        <v>162</v>
      </c>
      <c r="F101" s="213" t="s">
        <v>163</v>
      </c>
      <c r="G101" s="213" t="s">
        <v>391</v>
      </c>
      <c r="H101" s="78"/>
      <c r="I101" s="92"/>
      <c r="J101" s="92"/>
      <c r="K101" s="92"/>
      <c r="L101" s="92"/>
      <c r="M101" s="229"/>
      <c r="N101" s="215">
        <f t="shared" si="1"/>
        <v>0</v>
      </c>
      <c r="O101" s="229"/>
      <c r="P101" s="211"/>
    </row>
    <row r="102" spans="1:16" s="7" customFormat="1" ht="18.75" customHeight="1">
      <c r="A102" s="228">
        <v>97</v>
      </c>
      <c r="B102" s="213" t="s">
        <v>939</v>
      </c>
      <c r="C102" s="213" t="s">
        <v>940</v>
      </c>
      <c r="D102" s="213" t="s">
        <v>941</v>
      </c>
      <c r="E102" s="213" t="s">
        <v>39</v>
      </c>
      <c r="F102" s="213" t="s">
        <v>40</v>
      </c>
      <c r="G102" s="213" t="s">
        <v>382</v>
      </c>
      <c r="H102" s="78"/>
      <c r="I102" s="92"/>
      <c r="J102" s="92"/>
      <c r="K102" s="92"/>
      <c r="L102" s="92"/>
      <c r="M102" s="229"/>
      <c r="N102" s="215">
        <f t="shared" si="1"/>
        <v>0</v>
      </c>
      <c r="O102" s="229"/>
      <c r="P102" s="211"/>
    </row>
    <row r="103" spans="1:16" s="7" customFormat="1" ht="18.75" customHeight="1">
      <c r="A103" s="228">
        <v>98</v>
      </c>
      <c r="B103" s="213" t="s">
        <v>453</v>
      </c>
      <c r="C103" s="213" t="s">
        <v>454</v>
      </c>
      <c r="D103" s="213" t="s">
        <v>455</v>
      </c>
      <c r="E103" s="213" t="s">
        <v>39</v>
      </c>
      <c r="F103" s="213" t="s">
        <v>40</v>
      </c>
      <c r="G103" s="213" t="s">
        <v>382</v>
      </c>
      <c r="H103" s="78"/>
      <c r="I103" s="92"/>
      <c r="J103" s="92"/>
      <c r="K103" s="92"/>
      <c r="L103" s="92"/>
      <c r="M103" s="229"/>
      <c r="N103" s="215">
        <f t="shared" si="1"/>
        <v>0</v>
      </c>
      <c r="O103" s="229"/>
      <c r="P103" s="211"/>
    </row>
    <row r="104" spans="1:16" s="7" customFormat="1" ht="18.75" customHeight="1">
      <c r="A104" s="228">
        <v>99</v>
      </c>
      <c r="B104" s="213" t="s">
        <v>442</v>
      </c>
      <c r="C104" s="213" t="s">
        <v>443</v>
      </c>
      <c r="D104" s="213" t="s">
        <v>444</v>
      </c>
      <c r="E104" s="213" t="s">
        <v>39</v>
      </c>
      <c r="F104" s="213" t="s">
        <v>40</v>
      </c>
      <c r="G104" s="213" t="s">
        <v>382</v>
      </c>
      <c r="H104" s="78"/>
      <c r="I104" s="92"/>
      <c r="J104" s="92"/>
      <c r="K104" s="92"/>
      <c r="L104" s="92"/>
      <c r="M104" s="229"/>
      <c r="N104" s="215">
        <f t="shared" si="1"/>
        <v>0</v>
      </c>
      <c r="O104" s="229"/>
      <c r="P104" s="211"/>
    </row>
    <row r="105" spans="1:16" s="7" customFormat="1" ht="18.75" customHeight="1">
      <c r="A105" s="228">
        <v>100</v>
      </c>
      <c r="B105" s="213" t="s">
        <v>673</v>
      </c>
      <c r="C105" s="213" t="s">
        <v>674</v>
      </c>
      <c r="D105" s="213" t="s">
        <v>674</v>
      </c>
      <c r="E105" s="213" t="s">
        <v>39</v>
      </c>
      <c r="F105" s="213" t="s">
        <v>40</v>
      </c>
      <c r="G105" s="213" t="s">
        <v>382</v>
      </c>
      <c r="H105" s="78"/>
      <c r="I105" s="92"/>
      <c r="J105" s="92"/>
      <c r="K105" s="92"/>
      <c r="L105" s="92"/>
      <c r="M105" s="229"/>
      <c r="N105" s="215">
        <f t="shared" si="1"/>
        <v>0</v>
      </c>
      <c r="O105" s="229"/>
      <c r="P105" s="211"/>
    </row>
    <row r="106" spans="1:16" s="7" customFormat="1" ht="18.75" customHeight="1">
      <c r="A106" s="228">
        <v>101</v>
      </c>
      <c r="B106" s="213" t="s">
        <v>405</v>
      </c>
      <c r="C106" s="213" t="s">
        <v>406</v>
      </c>
      <c r="D106" s="213" t="s">
        <v>395</v>
      </c>
      <c r="E106" s="213" t="s">
        <v>39</v>
      </c>
      <c r="F106" s="213" t="s">
        <v>40</v>
      </c>
      <c r="G106" s="213" t="s">
        <v>382</v>
      </c>
      <c r="H106" s="78"/>
      <c r="I106" s="92"/>
      <c r="J106" s="92"/>
      <c r="K106" s="92"/>
      <c r="L106" s="92"/>
      <c r="M106" s="229"/>
      <c r="N106" s="215">
        <f t="shared" si="1"/>
        <v>0</v>
      </c>
      <c r="O106" s="229"/>
      <c r="P106" s="211"/>
    </row>
    <row r="107" spans="1:16" s="7" customFormat="1" ht="18.75" customHeight="1">
      <c r="A107" s="228">
        <v>102</v>
      </c>
      <c r="B107" s="213" t="s">
        <v>637</v>
      </c>
      <c r="C107" s="213" t="s">
        <v>664</v>
      </c>
      <c r="D107" s="213" t="s">
        <v>395</v>
      </c>
      <c r="E107" s="213" t="s">
        <v>39</v>
      </c>
      <c r="F107" s="213" t="s">
        <v>40</v>
      </c>
      <c r="G107" s="213" t="s">
        <v>382</v>
      </c>
      <c r="H107" s="78"/>
      <c r="I107" s="92"/>
      <c r="J107" s="92"/>
      <c r="K107" s="92"/>
      <c r="L107" s="92"/>
      <c r="M107" s="229"/>
      <c r="N107" s="215">
        <f t="shared" si="1"/>
        <v>0</v>
      </c>
      <c r="O107" s="229"/>
      <c r="P107" s="211"/>
    </row>
    <row r="108" spans="1:16" s="7" customFormat="1" ht="18.75" customHeight="1">
      <c r="A108" s="228">
        <v>103</v>
      </c>
      <c r="B108" s="213" t="s">
        <v>451</v>
      </c>
      <c r="C108" s="213" t="s">
        <v>452</v>
      </c>
      <c r="D108" s="213" t="s">
        <v>452</v>
      </c>
      <c r="E108" s="213" t="s">
        <v>39</v>
      </c>
      <c r="F108" s="213" t="s">
        <v>40</v>
      </c>
      <c r="G108" s="213" t="s">
        <v>382</v>
      </c>
      <c r="H108" s="78"/>
      <c r="I108" s="92"/>
      <c r="J108" s="92"/>
      <c r="K108" s="92"/>
      <c r="L108" s="92"/>
      <c r="M108" s="229"/>
      <c r="N108" s="215">
        <f t="shared" si="1"/>
        <v>0</v>
      </c>
      <c r="O108" s="229"/>
      <c r="P108" s="211"/>
    </row>
    <row r="109" spans="1:16" s="7" customFormat="1" ht="18.75" customHeight="1">
      <c r="A109" s="228">
        <v>104</v>
      </c>
      <c r="B109" s="213" t="s">
        <v>645</v>
      </c>
      <c r="C109" s="213" t="s">
        <v>668</v>
      </c>
      <c r="D109" s="213" t="s">
        <v>452</v>
      </c>
      <c r="E109" s="213" t="s">
        <v>39</v>
      </c>
      <c r="F109" s="213" t="s">
        <v>40</v>
      </c>
      <c r="G109" s="213" t="s">
        <v>382</v>
      </c>
      <c r="H109" s="78"/>
      <c r="I109" s="92"/>
      <c r="J109" s="92"/>
      <c r="K109" s="92"/>
      <c r="L109" s="92"/>
      <c r="M109" s="229"/>
      <c r="N109" s="215">
        <f t="shared" si="1"/>
        <v>0</v>
      </c>
      <c r="O109" s="229"/>
      <c r="P109" s="211"/>
    </row>
    <row r="110" spans="1:16" s="7" customFormat="1" ht="18.75" customHeight="1">
      <c r="A110" s="228">
        <v>105</v>
      </c>
      <c r="B110" s="213" t="s">
        <v>908</v>
      </c>
      <c r="C110" s="213" t="s">
        <v>909</v>
      </c>
      <c r="D110" s="213" t="s">
        <v>910</v>
      </c>
      <c r="E110" s="213" t="s">
        <v>39</v>
      </c>
      <c r="F110" s="213" t="s">
        <v>40</v>
      </c>
      <c r="G110" s="213" t="s">
        <v>382</v>
      </c>
      <c r="H110" s="78"/>
      <c r="I110" s="92"/>
      <c r="J110" s="92"/>
      <c r="K110" s="92"/>
      <c r="L110" s="92"/>
      <c r="M110" s="229"/>
      <c r="N110" s="215">
        <f t="shared" si="1"/>
        <v>0</v>
      </c>
      <c r="O110" s="229"/>
      <c r="P110" s="211"/>
    </row>
    <row r="111" spans="1:16" s="7" customFormat="1" ht="18.75" customHeight="1">
      <c r="A111" s="228">
        <v>106</v>
      </c>
      <c r="B111" s="213" t="s">
        <v>445</v>
      </c>
      <c r="C111" s="213" t="s">
        <v>446</v>
      </c>
      <c r="D111" s="213" t="s">
        <v>447</v>
      </c>
      <c r="E111" s="213" t="s">
        <v>39</v>
      </c>
      <c r="F111" s="213" t="s">
        <v>40</v>
      </c>
      <c r="G111" s="213" t="s">
        <v>382</v>
      </c>
      <c r="H111" s="78"/>
      <c r="I111" s="92"/>
      <c r="J111" s="92"/>
      <c r="K111" s="92"/>
      <c r="L111" s="92"/>
      <c r="M111" s="229"/>
      <c r="N111" s="215">
        <f t="shared" si="1"/>
        <v>0</v>
      </c>
      <c r="O111" s="229"/>
      <c r="P111" s="211"/>
    </row>
    <row r="112" spans="1:16" s="7" customFormat="1" ht="18.75" customHeight="1">
      <c r="A112" s="228">
        <v>107</v>
      </c>
      <c r="B112" s="213" t="s">
        <v>456</v>
      </c>
      <c r="C112" s="213" t="s">
        <v>457</v>
      </c>
      <c r="D112" s="213" t="s">
        <v>447</v>
      </c>
      <c r="E112" s="213" t="s">
        <v>39</v>
      </c>
      <c r="F112" s="213" t="s">
        <v>40</v>
      </c>
      <c r="G112" s="213" t="s">
        <v>382</v>
      </c>
      <c r="H112" s="78"/>
      <c r="I112" s="92"/>
      <c r="J112" s="92"/>
      <c r="K112" s="92"/>
      <c r="L112" s="92"/>
      <c r="M112" s="229"/>
      <c r="N112" s="215">
        <f t="shared" si="1"/>
        <v>0</v>
      </c>
      <c r="O112" s="229"/>
      <c r="P112" s="211"/>
    </row>
    <row r="113" spans="1:16" s="7" customFormat="1" ht="18.75" customHeight="1">
      <c r="A113" s="228">
        <v>108</v>
      </c>
      <c r="B113" s="213" t="s">
        <v>669</v>
      </c>
      <c r="C113" s="213" t="s">
        <v>457</v>
      </c>
      <c r="D113" s="213" t="s">
        <v>447</v>
      </c>
      <c r="E113" s="213" t="s">
        <v>39</v>
      </c>
      <c r="F113" s="213" t="s">
        <v>40</v>
      </c>
      <c r="G113" s="213" t="s">
        <v>382</v>
      </c>
      <c r="H113" s="78"/>
      <c r="I113" s="92"/>
      <c r="J113" s="92"/>
      <c r="K113" s="92"/>
      <c r="L113" s="92"/>
      <c r="M113" s="229"/>
      <c r="N113" s="215">
        <f t="shared" si="1"/>
        <v>0</v>
      </c>
      <c r="O113" s="229"/>
      <c r="P113" s="211"/>
    </row>
    <row r="114" spans="1:16" s="7" customFormat="1" ht="18.75" customHeight="1">
      <c r="A114" s="228">
        <v>109</v>
      </c>
      <c r="B114" s="213" t="s">
        <v>448</v>
      </c>
      <c r="C114" s="213" t="s">
        <v>449</v>
      </c>
      <c r="D114" s="213" t="s">
        <v>450</v>
      </c>
      <c r="E114" s="213" t="s">
        <v>39</v>
      </c>
      <c r="F114" s="213" t="s">
        <v>40</v>
      </c>
      <c r="G114" s="213" t="s">
        <v>382</v>
      </c>
      <c r="H114" s="78"/>
      <c r="I114" s="92"/>
      <c r="J114" s="92"/>
      <c r="K114" s="92"/>
      <c r="L114" s="92"/>
      <c r="M114" s="229"/>
      <c r="N114" s="215">
        <f t="shared" si="1"/>
        <v>0</v>
      </c>
      <c r="O114" s="229"/>
      <c r="P114" s="211"/>
    </row>
    <row r="115" spans="1:16" s="7" customFormat="1" ht="18.75" customHeight="1">
      <c r="A115" s="228">
        <v>110</v>
      </c>
      <c r="B115" s="213" t="s">
        <v>884</v>
      </c>
      <c r="C115" s="213" t="s">
        <v>885</v>
      </c>
      <c r="D115" s="213" t="s">
        <v>886</v>
      </c>
      <c r="E115" s="213" t="s">
        <v>45</v>
      </c>
      <c r="F115" s="213" t="s">
        <v>46</v>
      </c>
      <c r="G115" s="213" t="s">
        <v>382</v>
      </c>
      <c r="H115" s="78"/>
      <c r="I115" s="92"/>
      <c r="J115" s="92"/>
      <c r="K115" s="92"/>
      <c r="L115" s="92"/>
      <c r="M115" s="229"/>
      <c r="N115" s="215">
        <f t="shared" si="1"/>
        <v>0</v>
      </c>
      <c r="O115" s="229"/>
      <c r="P115" s="211"/>
    </row>
    <row r="116" spans="1:16" s="7" customFormat="1" ht="18.75" customHeight="1">
      <c r="A116" s="228">
        <v>111</v>
      </c>
      <c r="B116" s="213" t="s">
        <v>433</v>
      </c>
      <c r="C116" s="213" t="s">
        <v>649</v>
      </c>
      <c r="D116" s="213" t="s">
        <v>650</v>
      </c>
      <c r="E116" s="213" t="s">
        <v>45</v>
      </c>
      <c r="F116" s="213" t="s">
        <v>46</v>
      </c>
      <c r="G116" s="213" t="s">
        <v>382</v>
      </c>
      <c r="H116" s="78"/>
      <c r="I116" s="92"/>
      <c r="J116" s="92"/>
      <c r="K116" s="92"/>
      <c r="L116" s="92"/>
      <c r="M116" s="229"/>
      <c r="N116" s="215">
        <f t="shared" si="1"/>
        <v>0</v>
      </c>
      <c r="O116" s="229"/>
      <c r="P116" s="211"/>
    </row>
    <row r="117" spans="1:16" s="7" customFormat="1" ht="18.75" customHeight="1">
      <c r="A117" s="228">
        <v>112</v>
      </c>
      <c r="B117" s="213" t="s">
        <v>655</v>
      </c>
      <c r="C117" s="213" t="s">
        <v>656</v>
      </c>
      <c r="D117" s="213" t="s">
        <v>657</v>
      </c>
      <c r="E117" s="213" t="s">
        <v>45</v>
      </c>
      <c r="F117" s="213" t="s">
        <v>46</v>
      </c>
      <c r="G117" s="213" t="s">
        <v>382</v>
      </c>
      <c r="H117" s="78"/>
      <c r="I117" s="92"/>
      <c r="J117" s="92"/>
      <c r="K117" s="92"/>
      <c r="L117" s="92"/>
      <c r="M117" s="229"/>
      <c r="N117" s="215">
        <f t="shared" si="1"/>
        <v>0</v>
      </c>
      <c r="O117" s="229"/>
      <c r="P117" s="211"/>
    </row>
    <row r="118" spans="1:16" s="7" customFormat="1" ht="18.75" customHeight="1">
      <c r="A118" s="228">
        <v>113</v>
      </c>
      <c r="B118" s="213" t="s">
        <v>689</v>
      </c>
      <c r="C118" s="213" t="s">
        <v>817</v>
      </c>
      <c r="D118" s="213" t="s">
        <v>818</v>
      </c>
      <c r="E118" s="213" t="s">
        <v>45</v>
      </c>
      <c r="F118" s="213" t="s">
        <v>46</v>
      </c>
      <c r="G118" s="213" t="s">
        <v>382</v>
      </c>
      <c r="H118" s="78"/>
      <c r="I118" s="92"/>
      <c r="J118" s="92"/>
      <c r="K118" s="92"/>
      <c r="L118" s="92"/>
      <c r="M118" s="229"/>
      <c r="N118" s="215">
        <f t="shared" si="1"/>
        <v>0</v>
      </c>
      <c r="O118" s="229"/>
      <c r="P118" s="211"/>
    </row>
    <row r="119" spans="1:16" s="7" customFormat="1" ht="18.75" customHeight="1">
      <c r="A119" s="228">
        <v>114</v>
      </c>
      <c r="B119" s="213" t="s">
        <v>542</v>
      </c>
      <c r="C119" s="213" t="s">
        <v>663</v>
      </c>
      <c r="D119" s="213" t="s">
        <v>395</v>
      </c>
      <c r="E119" s="213" t="s">
        <v>45</v>
      </c>
      <c r="F119" s="213" t="s">
        <v>46</v>
      </c>
      <c r="G119" s="213" t="s">
        <v>382</v>
      </c>
      <c r="H119" s="78"/>
      <c r="I119" s="92"/>
      <c r="J119" s="92"/>
      <c r="K119" s="92"/>
      <c r="L119" s="92"/>
      <c r="M119" s="229"/>
      <c r="N119" s="215">
        <f t="shared" si="1"/>
        <v>0</v>
      </c>
      <c r="O119" s="229"/>
      <c r="P119" s="211"/>
    </row>
    <row r="120" spans="1:16" s="7" customFormat="1" ht="18.75" customHeight="1">
      <c r="A120" s="228">
        <v>115</v>
      </c>
      <c r="B120" s="213" t="s">
        <v>969</v>
      </c>
      <c r="C120" s="213" t="s">
        <v>970</v>
      </c>
      <c r="D120" s="213" t="s">
        <v>971</v>
      </c>
      <c r="E120" s="213" t="s">
        <v>45</v>
      </c>
      <c r="F120" s="213" t="s">
        <v>46</v>
      </c>
      <c r="G120" s="213" t="s">
        <v>382</v>
      </c>
      <c r="H120" s="78"/>
      <c r="I120" s="92"/>
      <c r="J120" s="92"/>
      <c r="K120" s="92"/>
      <c r="L120" s="92"/>
      <c r="M120" s="229"/>
      <c r="N120" s="215">
        <f t="shared" si="1"/>
        <v>0</v>
      </c>
      <c r="O120" s="229"/>
      <c r="P120" s="211"/>
    </row>
    <row r="121" spans="1:16" s="7" customFormat="1" ht="18.75" customHeight="1">
      <c r="A121" s="228">
        <v>116</v>
      </c>
      <c r="B121" s="213" t="s">
        <v>1177</v>
      </c>
      <c r="C121" s="213" t="s">
        <v>1178</v>
      </c>
      <c r="D121" s="213" t="s">
        <v>1179</v>
      </c>
      <c r="E121" s="213" t="s">
        <v>65</v>
      </c>
      <c r="F121" s="213" t="s">
        <v>66</v>
      </c>
      <c r="G121" s="213" t="s">
        <v>382</v>
      </c>
      <c r="H121" s="78"/>
      <c r="I121" s="92"/>
      <c r="J121" s="92"/>
      <c r="K121" s="92"/>
      <c r="L121" s="92"/>
      <c r="M121" s="229"/>
      <c r="N121" s="215">
        <f t="shared" si="1"/>
        <v>0</v>
      </c>
      <c r="O121" s="229"/>
      <c r="P121" s="211"/>
    </row>
    <row r="122" spans="1:16" s="7" customFormat="1" ht="18.75" customHeight="1">
      <c r="A122" s="228">
        <v>117</v>
      </c>
      <c r="B122" s="213" t="s">
        <v>439</v>
      </c>
      <c r="C122" s="213" t="s">
        <v>440</v>
      </c>
      <c r="D122" s="213" t="s">
        <v>441</v>
      </c>
      <c r="E122" s="213" t="s">
        <v>65</v>
      </c>
      <c r="F122" s="213" t="s">
        <v>66</v>
      </c>
      <c r="G122" s="213" t="s">
        <v>382</v>
      </c>
      <c r="H122" s="78"/>
      <c r="I122" s="92"/>
      <c r="J122" s="92"/>
      <c r="K122" s="92"/>
      <c r="L122" s="92"/>
      <c r="M122" s="229"/>
      <c r="N122" s="215">
        <f t="shared" si="1"/>
        <v>0</v>
      </c>
      <c r="O122" s="229"/>
      <c r="P122" s="211"/>
    </row>
    <row r="123" spans="1:16" s="7" customFormat="1" ht="18.75" customHeight="1">
      <c r="A123" s="228">
        <v>118</v>
      </c>
      <c r="B123" s="213" t="s">
        <v>618</v>
      </c>
      <c r="C123" s="213" t="s">
        <v>619</v>
      </c>
      <c r="D123" s="213" t="s">
        <v>620</v>
      </c>
      <c r="E123" s="213" t="s">
        <v>65</v>
      </c>
      <c r="F123" s="213" t="s">
        <v>67</v>
      </c>
      <c r="G123" s="213" t="s">
        <v>382</v>
      </c>
      <c r="H123" s="78"/>
      <c r="I123" s="92"/>
      <c r="J123" s="92"/>
      <c r="K123" s="92"/>
      <c r="L123" s="92"/>
      <c r="M123" s="229"/>
      <c r="N123" s="215">
        <f t="shared" si="1"/>
        <v>0</v>
      </c>
      <c r="O123" s="229"/>
      <c r="P123" s="211"/>
    </row>
    <row r="124" spans="1:16" s="7" customFormat="1" ht="18.75" customHeight="1">
      <c r="A124" s="228">
        <v>119</v>
      </c>
      <c r="B124" s="213" t="s">
        <v>433</v>
      </c>
      <c r="C124" s="213" t="s">
        <v>434</v>
      </c>
      <c r="D124" s="213" t="s">
        <v>435</v>
      </c>
      <c r="E124" s="213" t="s">
        <v>65</v>
      </c>
      <c r="F124" s="213" t="s">
        <v>66</v>
      </c>
      <c r="G124" s="213" t="s">
        <v>382</v>
      </c>
      <c r="H124" s="78"/>
      <c r="I124" s="92"/>
      <c r="J124" s="92"/>
      <c r="K124" s="92"/>
      <c r="L124" s="92"/>
      <c r="M124" s="229"/>
      <c r="N124" s="215">
        <f t="shared" si="1"/>
        <v>0</v>
      </c>
      <c r="O124" s="229"/>
      <c r="P124" s="211"/>
    </row>
    <row r="125" spans="1:16" s="7" customFormat="1" ht="18.75" customHeight="1">
      <c r="A125" s="228">
        <v>120</v>
      </c>
      <c r="B125" s="213" t="s">
        <v>436</v>
      </c>
      <c r="C125" s="213" t="s">
        <v>437</v>
      </c>
      <c r="D125" s="213" t="s">
        <v>438</v>
      </c>
      <c r="E125" s="213" t="s">
        <v>65</v>
      </c>
      <c r="F125" s="213" t="s">
        <v>66</v>
      </c>
      <c r="G125" s="213" t="s">
        <v>382</v>
      </c>
      <c r="H125" s="78"/>
      <c r="I125" s="92"/>
      <c r="J125" s="92"/>
      <c r="K125" s="92"/>
      <c r="L125" s="92"/>
      <c r="M125" s="229"/>
      <c r="N125" s="215">
        <f t="shared" si="1"/>
        <v>0</v>
      </c>
      <c r="O125" s="229"/>
      <c r="P125" s="211"/>
    </row>
    <row r="126" spans="1:16" s="7" customFormat="1" ht="18.75" customHeight="1">
      <c r="A126" s="228">
        <v>121</v>
      </c>
      <c r="B126" s="213" t="s">
        <v>639</v>
      </c>
      <c r="C126" s="213" t="s">
        <v>640</v>
      </c>
      <c r="D126" s="213" t="s">
        <v>395</v>
      </c>
      <c r="E126" s="213" t="s">
        <v>65</v>
      </c>
      <c r="F126" s="213" t="s">
        <v>66</v>
      </c>
      <c r="G126" s="213" t="s">
        <v>382</v>
      </c>
      <c r="H126" s="78"/>
      <c r="I126" s="92"/>
      <c r="J126" s="92"/>
      <c r="K126" s="92"/>
      <c r="L126" s="92"/>
      <c r="M126" s="229"/>
      <c r="N126" s="215">
        <f t="shared" si="1"/>
        <v>0</v>
      </c>
      <c r="O126" s="229"/>
      <c r="P126" s="211"/>
    </row>
    <row r="127" spans="1:16" s="7" customFormat="1" ht="18.75" customHeight="1">
      <c r="A127" s="228">
        <v>122</v>
      </c>
      <c r="B127" s="213" t="s">
        <v>412</v>
      </c>
      <c r="C127" s="213" t="s">
        <v>413</v>
      </c>
      <c r="D127" s="213" t="s">
        <v>414</v>
      </c>
      <c r="E127" s="213" t="s">
        <v>96</v>
      </c>
      <c r="F127" s="213" t="s">
        <v>97</v>
      </c>
      <c r="G127" s="213" t="s">
        <v>382</v>
      </c>
      <c r="H127" s="78"/>
      <c r="I127" s="92"/>
      <c r="J127" s="92"/>
      <c r="K127" s="92"/>
      <c r="L127" s="92"/>
      <c r="M127" s="229"/>
      <c r="N127" s="215">
        <f t="shared" si="1"/>
        <v>0</v>
      </c>
      <c r="O127" s="229"/>
      <c r="P127" s="211"/>
    </row>
    <row r="128" spans="1:16" s="7" customFormat="1" ht="18.75" customHeight="1">
      <c r="A128" s="228">
        <v>123</v>
      </c>
      <c r="B128" s="213" t="s">
        <v>972</v>
      </c>
      <c r="C128" s="213" t="s">
        <v>973</v>
      </c>
      <c r="D128" s="213" t="s">
        <v>974</v>
      </c>
      <c r="E128" s="213" t="s">
        <v>172</v>
      </c>
      <c r="F128" s="213" t="s">
        <v>173</v>
      </c>
      <c r="G128" s="213" t="s">
        <v>382</v>
      </c>
      <c r="H128" s="78"/>
      <c r="I128" s="92"/>
      <c r="J128" s="92"/>
      <c r="K128" s="92"/>
      <c r="L128" s="92"/>
      <c r="M128" s="229"/>
      <c r="N128" s="215">
        <f t="shared" si="1"/>
        <v>0</v>
      </c>
      <c r="O128" s="229"/>
      <c r="P128" s="211"/>
    </row>
    <row r="129" spans="1:16" s="7" customFormat="1" ht="18.75" customHeight="1">
      <c r="A129" s="228">
        <v>124</v>
      </c>
      <c r="B129" s="213" t="s">
        <v>889</v>
      </c>
      <c r="C129" s="213" t="s">
        <v>890</v>
      </c>
      <c r="D129" s="213" t="s">
        <v>891</v>
      </c>
      <c r="E129" s="213" t="s">
        <v>172</v>
      </c>
      <c r="F129" s="213" t="s">
        <v>173</v>
      </c>
      <c r="G129" s="213" t="s">
        <v>382</v>
      </c>
      <c r="H129" s="78"/>
      <c r="I129" s="92"/>
      <c r="J129" s="92"/>
      <c r="K129" s="92"/>
      <c r="L129" s="92"/>
      <c r="M129" s="229"/>
      <c r="N129" s="215">
        <f t="shared" si="1"/>
        <v>0</v>
      </c>
      <c r="O129" s="229"/>
      <c r="P129" s="211"/>
    </row>
    <row r="130" spans="1:16" s="7" customFormat="1" ht="18.75" customHeight="1">
      <c r="A130" s="228">
        <v>125</v>
      </c>
      <c r="B130" s="213" t="s">
        <v>1182</v>
      </c>
      <c r="C130" s="213" t="s">
        <v>644</v>
      </c>
      <c r="D130" s="213" t="s">
        <v>644</v>
      </c>
      <c r="E130" s="213" t="s">
        <v>172</v>
      </c>
      <c r="F130" s="213" t="s">
        <v>173</v>
      </c>
      <c r="G130" s="213" t="s">
        <v>382</v>
      </c>
      <c r="H130" s="78"/>
      <c r="I130" s="92"/>
      <c r="J130" s="92"/>
      <c r="K130" s="92"/>
      <c r="L130" s="92"/>
      <c r="M130" s="229"/>
      <c r="N130" s="215">
        <f t="shared" si="1"/>
        <v>0</v>
      </c>
      <c r="O130" s="229"/>
      <c r="P130" s="211"/>
    </row>
    <row r="131" spans="1:16" s="7" customFormat="1" ht="18.75" customHeight="1">
      <c r="A131" s="228">
        <v>126</v>
      </c>
      <c r="B131" s="213" t="s">
        <v>653</v>
      </c>
      <c r="C131" s="213" t="s">
        <v>654</v>
      </c>
      <c r="D131" s="213" t="s">
        <v>644</v>
      </c>
      <c r="E131" s="213" t="s">
        <v>172</v>
      </c>
      <c r="F131" s="213" t="s">
        <v>173</v>
      </c>
      <c r="G131" s="213" t="s">
        <v>382</v>
      </c>
      <c r="H131" s="78"/>
      <c r="I131" s="92"/>
      <c r="J131" s="92"/>
      <c r="K131" s="92"/>
      <c r="L131" s="92"/>
      <c r="M131" s="229"/>
      <c r="N131" s="215">
        <f t="shared" si="1"/>
        <v>0</v>
      </c>
      <c r="O131" s="229"/>
      <c r="P131" s="211"/>
    </row>
    <row r="132" spans="1:16" s="7" customFormat="1" ht="18.75" customHeight="1">
      <c r="A132" s="228">
        <v>127</v>
      </c>
      <c r="B132" s="213" t="s">
        <v>887</v>
      </c>
      <c r="C132" s="213" t="s">
        <v>888</v>
      </c>
      <c r="D132" s="213" t="s">
        <v>395</v>
      </c>
      <c r="E132" s="213" t="s">
        <v>172</v>
      </c>
      <c r="F132" s="213" t="s">
        <v>173</v>
      </c>
      <c r="G132" s="213" t="s">
        <v>382</v>
      </c>
      <c r="H132" s="78"/>
      <c r="I132" s="92"/>
      <c r="J132" s="92"/>
      <c r="K132" s="92"/>
      <c r="L132" s="92"/>
      <c r="M132" s="229"/>
      <c r="N132" s="215">
        <f t="shared" si="1"/>
        <v>0</v>
      </c>
      <c r="O132" s="229"/>
      <c r="P132" s="211"/>
    </row>
    <row r="133" spans="1:16" s="7" customFormat="1" ht="18.75" customHeight="1">
      <c r="A133" s="228">
        <v>128</v>
      </c>
      <c r="B133" s="213" t="s">
        <v>975</v>
      </c>
      <c r="C133" s="213" t="s">
        <v>976</v>
      </c>
      <c r="D133" s="213" t="s">
        <v>395</v>
      </c>
      <c r="E133" s="213" t="s">
        <v>172</v>
      </c>
      <c r="F133" s="213" t="s">
        <v>173</v>
      </c>
      <c r="G133" s="213" t="s">
        <v>382</v>
      </c>
      <c r="H133" s="78"/>
      <c r="I133" s="92"/>
      <c r="J133" s="92"/>
      <c r="K133" s="92"/>
      <c r="L133" s="92"/>
      <c r="M133" s="229"/>
      <c r="N133" s="215">
        <f t="shared" si="1"/>
        <v>0</v>
      </c>
      <c r="O133" s="229"/>
      <c r="P133" s="211"/>
    </row>
    <row r="134" spans="1:16" s="7" customFormat="1" ht="18.75" customHeight="1">
      <c r="A134" s="228">
        <v>129</v>
      </c>
      <c r="B134" s="213" t="s">
        <v>882</v>
      </c>
      <c r="C134" s="213" t="s">
        <v>883</v>
      </c>
      <c r="D134" s="213" t="s">
        <v>395</v>
      </c>
      <c r="E134" s="213" t="s">
        <v>172</v>
      </c>
      <c r="F134" s="213" t="s">
        <v>173</v>
      </c>
      <c r="G134" s="213" t="s">
        <v>382</v>
      </c>
      <c r="H134" s="78"/>
      <c r="I134" s="92"/>
      <c r="J134" s="92"/>
      <c r="K134" s="92"/>
      <c r="L134" s="92"/>
      <c r="M134" s="229"/>
      <c r="N134" s="215">
        <f t="shared" si="1"/>
        <v>0</v>
      </c>
      <c r="O134" s="229"/>
      <c r="P134" s="211"/>
    </row>
    <row r="135" spans="1:16" s="7" customFormat="1" ht="18.75" customHeight="1">
      <c r="A135" s="228">
        <v>130</v>
      </c>
      <c r="B135" s="213" t="s">
        <v>570</v>
      </c>
      <c r="C135" s="213" t="s">
        <v>571</v>
      </c>
      <c r="D135" s="213" t="s">
        <v>572</v>
      </c>
      <c r="E135" s="213" t="s">
        <v>175</v>
      </c>
      <c r="F135" s="213" t="s">
        <v>176</v>
      </c>
      <c r="G135" s="213" t="s">
        <v>382</v>
      </c>
      <c r="H135" s="78"/>
      <c r="I135" s="92"/>
      <c r="J135" s="92"/>
      <c r="K135" s="92"/>
      <c r="L135" s="92"/>
      <c r="M135" s="229"/>
      <c r="N135" s="215">
        <f t="shared" ref="N135:N198" si="2">SUM(I135:M135)</f>
        <v>0</v>
      </c>
      <c r="O135" s="229"/>
      <c r="P135" s="211"/>
    </row>
    <row r="136" spans="1:16" s="7" customFormat="1" ht="18.75" customHeight="1">
      <c r="A136" s="228">
        <v>131</v>
      </c>
      <c r="B136" s="213" t="s">
        <v>647</v>
      </c>
      <c r="C136" s="213" t="s">
        <v>22</v>
      </c>
      <c r="D136" s="213" t="s">
        <v>648</v>
      </c>
      <c r="E136" s="213" t="s">
        <v>184</v>
      </c>
      <c r="F136" s="213" t="s">
        <v>185</v>
      </c>
      <c r="G136" s="213" t="s">
        <v>382</v>
      </c>
      <c r="H136" s="78"/>
      <c r="I136" s="92"/>
      <c r="J136" s="92"/>
      <c r="K136" s="92"/>
      <c r="L136" s="92"/>
      <c r="M136" s="229"/>
      <c r="N136" s="215">
        <f t="shared" si="2"/>
        <v>0</v>
      </c>
      <c r="O136" s="229"/>
      <c r="P136" s="211"/>
    </row>
    <row r="137" spans="1:16" s="7" customFormat="1" ht="18.75" customHeight="1">
      <c r="A137" s="228">
        <v>132</v>
      </c>
      <c r="B137" s="213" t="s">
        <v>645</v>
      </c>
      <c r="C137" s="213" t="s">
        <v>646</v>
      </c>
      <c r="D137" s="213" t="s">
        <v>395</v>
      </c>
      <c r="E137" s="213" t="s">
        <v>184</v>
      </c>
      <c r="F137" s="213" t="s">
        <v>185</v>
      </c>
      <c r="G137" s="213" t="s">
        <v>382</v>
      </c>
      <c r="H137" s="78"/>
      <c r="I137" s="92"/>
      <c r="J137" s="92"/>
      <c r="K137" s="92"/>
      <c r="L137" s="92"/>
      <c r="M137" s="229"/>
      <c r="N137" s="215">
        <f t="shared" si="2"/>
        <v>0</v>
      </c>
      <c r="O137" s="229"/>
      <c r="P137" s="211"/>
    </row>
    <row r="138" spans="1:16" s="7" customFormat="1" ht="18.75" customHeight="1">
      <c r="A138" s="228">
        <v>133</v>
      </c>
      <c r="B138" s="213" t="s">
        <v>651</v>
      </c>
      <c r="C138" s="213" t="s">
        <v>624</v>
      </c>
      <c r="D138" s="213" t="s">
        <v>652</v>
      </c>
      <c r="E138" s="213" t="s">
        <v>184</v>
      </c>
      <c r="F138" s="213" t="s">
        <v>185</v>
      </c>
      <c r="G138" s="213" t="s">
        <v>382</v>
      </c>
      <c r="H138" s="78"/>
      <c r="I138" s="92"/>
      <c r="J138" s="92"/>
      <c r="K138" s="92"/>
      <c r="L138" s="92"/>
      <c r="M138" s="229"/>
      <c r="N138" s="215">
        <f t="shared" si="2"/>
        <v>0</v>
      </c>
      <c r="O138" s="229"/>
      <c r="P138" s="211"/>
    </row>
    <row r="139" spans="1:16" s="7" customFormat="1" ht="18.75" customHeight="1">
      <c r="A139" s="228">
        <v>134</v>
      </c>
      <c r="B139" s="213" t="s">
        <v>937</v>
      </c>
      <c r="C139" s="213" t="s">
        <v>938</v>
      </c>
      <c r="D139" s="213" t="s">
        <v>667</v>
      </c>
      <c r="E139" s="213" t="s">
        <v>184</v>
      </c>
      <c r="F139" s="213" t="s">
        <v>185</v>
      </c>
      <c r="G139" s="213" t="s">
        <v>382</v>
      </c>
      <c r="H139" s="78"/>
      <c r="I139" s="92"/>
      <c r="J139" s="92"/>
      <c r="K139" s="92"/>
      <c r="L139" s="92"/>
      <c r="M139" s="229"/>
      <c r="N139" s="215">
        <f t="shared" si="2"/>
        <v>0</v>
      </c>
      <c r="O139" s="229"/>
      <c r="P139" s="211"/>
    </row>
    <row r="140" spans="1:16" s="7" customFormat="1" ht="18.75" customHeight="1">
      <c r="A140" s="228">
        <v>135</v>
      </c>
      <c r="B140" s="213" t="s">
        <v>665</v>
      </c>
      <c r="C140" s="213" t="s">
        <v>666</v>
      </c>
      <c r="D140" s="213" t="s">
        <v>667</v>
      </c>
      <c r="E140" s="213" t="s">
        <v>184</v>
      </c>
      <c r="F140" s="213" t="s">
        <v>185</v>
      </c>
      <c r="G140" s="213" t="s">
        <v>382</v>
      </c>
      <c r="H140" s="78"/>
      <c r="I140" s="92"/>
      <c r="J140" s="92"/>
      <c r="K140" s="92"/>
      <c r="L140" s="92"/>
      <c r="M140" s="229"/>
      <c r="N140" s="215">
        <f t="shared" si="2"/>
        <v>0</v>
      </c>
      <c r="O140" s="229"/>
      <c r="P140" s="211"/>
    </row>
    <row r="141" spans="1:16" s="7" customFormat="1" ht="18.75" customHeight="1">
      <c r="A141" s="228">
        <v>136</v>
      </c>
      <c r="B141" s="213" t="s">
        <v>899</v>
      </c>
      <c r="C141" s="213" t="s">
        <v>739</v>
      </c>
      <c r="D141" s="213" t="s">
        <v>739</v>
      </c>
      <c r="E141" s="213" t="s">
        <v>208</v>
      </c>
      <c r="F141" s="213" t="s">
        <v>209</v>
      </c>
      <c r="G141" s="213" t="s">
        <v>382</v>
      </c>
      <c r="H141" s="78"/>
      <c r="I141" s="92"/>
      <c r="J141" s="92"/>
      <c r="K141" s="92"/>
      <c r="L141" s="92"/>
      <c r="M141" s="229"/>
      <c r="N141" s="215">
        <f t="shared" si="2"/>
        <v>0</v>
      </c>
      <c r="O141" s="229"/>
      <c r="P141" s="211"/>
    </row>
    <row r="142" spans="1:16" s="7" customFormat="1" ht="18.75" customHeight="1">
      <c r="A142" s="228">
        <v>137</v>
      </c>
      <c r="B142" s="213" t="s">
        <v>689</v>
      </c>
      <c r="C142" s="213" t="s">
        <v>690</v>
      </c>
      <c r="D142" s="213" t="s">
        <v>690</v>
      </c>
      <c r="E142" s="213" t="s">
        <v>208</v>
      </c>
      <c r="F142" s="213" t="s">
        <v>209</v>
      </c>
      <c r="G142" s="213" t="s">
        <v>382</v>
      </c>
      <c r="H142" s="78"/>
      <c r="I142" s="92"/>
      <c r="J142" s="92"/>
      <c r="K142" s="92"/>
      <c r="L142" s="92"/>
      <c r="M142" s="229"/>
      <c r="N142" s="215">
        <f t="shared" si="2"/>
        <v>0</v>
      </c>
      <c r="O142" s="229"/>
      <c r="P142" s="211"/>
    </row>
    <row r="143" spans="1:16" s="7" customFormat="1" ht="18.75" customHeight="1">
      <c r="A143" s="228">
        <v>138</v>
      </c>
      <c r="B143" s="213" t="s">
        <v>1172</v>
      </c>
      <c r="C143" s="213" t="s">
        <v>1173</v>
      </c>
      <c r="D143" s="213" t="s">
        <v>1174</v>
      </c>
      <c r="E143" s="213" t="s">
        <v>255</v>
      </c>
      <c r="F143" s="213" t="s">
        <v>256</v>
      </c>
      <c r="G143" s="213" t="s">
        <v>382</v>
      </c>
      <c r="H143" s="78"/>
      <c r="I143" s="92"/>
      <c r="J143" s="92"/>
      <c r="K143" s="92"/>
      <c r="L143" s="92"/>
      <c r="M143" s="229"/>
      <c r="N143" s="215">
        <f t="shared" si="2"/>
        <v>0</v>
      </c>
      <c r="O143" s="229"/>
      <c r="P143" s="211"/>
    </row>
    <row r="144" spans="1:16" s="7" customFormat="1" ht="18.75" customHeight="1">
      <c r="A144" s="228">
        <v>139</v>
      </c>
      <c r="B144" s="213" t="s">
        <v>897</v>
      </c>
      <c r="C144" s="213" t="s">
        <v>898</v>
      </c>
      <c r="D144" s="213" t="s">
        <v>395</v>
      </c>
      <c r="E144" s="213" t="s">
        <v>255</v>
      </c>
      <c r="F144" s="213" t="s">
        <v>256</v>
      </c>
      <c r="G144" s="213" t="s">
        <v>382</v>
      </c>
      <c r="H144" s="78"/>
      <c r="I144" s="92"/>
      <c r="J144" s="92"/>
      <c r="K144" s="92"/>
      <c r="L144" s="92"/>
      <c r="M144" s="229"/>
      <c r="N144" s="215">
        <f t="shared" si="2"/>
        <v>0</v>
      </c>
      <c r="O144" s="229"/>
      <c r="P144" s="211"/>
    </row>
    <row r="145" spans="1:16" s="7" customFormat="1" ht="18.75" customHeight="1">
      <c r="A145" s="228">
        <v>140</v>
      </c>
      <c r="B145" s="213" t="s">
        <v>700</v>
      </c>
      <c r="C145" s="213" t="s">
        <v>701</v>
      </c>
      <c r="D145" s="213" t="s">
        <v>702</v>
      </c>
      <c r="E145" s="213" t="s">
        <v>262</v>
      </c>
      <c r="F145" s="213" t="s">
        <v>263</v>
      </c>
      <c r="G145" s="213" t="s">
        <v>382</v>
      </c>
      <c r="H145" s="78"/>
      <c r="I145" s="92"/>
      <c r="J145" s="92"/>
      <c r="K145" s="92"/>
      <c r="L145" s="92"/>
      <c r="M145" s="229"/>
      <c r="N145" s="215">
        <f t="shared" si="2"/>
        <v>0</v>
      </c>
      <c r="O145" s="229"/>
      <c r="P145" s="211"/>
    </row>
    <row r="146" spans="1:16" s="7" customFormat="1" ht="18.75" customHeight="1">
      <c r="A146" s="228">
        <v>141</v>
      </c>
      <c r="B146" s="213" t="s">
        <v>921</v>
      </c>
      <c r="C146" s="213" t="s">
        <v>922</v>
      </c>
      <c r="D146" s="213" t="s">
        <v>923</v>
      </c>
      <c r="E146" s="213" t="s">
        <v>262</v>
      </c>
      <c r="F146" s="213" t="s">
        <v>263</v>
      </c>
      <c r="G146" s="213" t="s">
        <v>382</v>
      </c>
      <c r="H146" s="78"/>
      <c r="I146" s="92"/>
      <c r="J146" s="92"/>
      <c r="K146" s="92"/>
      <c r="L146" s="92"/>
      <c r="M146" s="229"/>
      <c r="N146" s="215">
        <f t="shared" si="2"/>
        <v>0</v>
      </c>
      <c r="O146" s="229"/>
      <c r="P146" s="211"/>
    </row>
    <row r="147" spans="1:16" s="7" customFormat="1" ht="18.75" customHeight="1">
      <c r="A147" s="228">
        <v>142</v>
      </c>
      <c r="B147" s="213" t="s">
        <v>895</v>
      </c>
      <c r="C147" s="213" t="s">
        <v>896</v>
      </c>
      <c r="D147" s="213" t="s">
        <v>633</v>
      </c>
      <c r="E147" s="213" t="s">
        <v>262</v>
      </c>
      <c r="F147" s="213" t="s">
        <v>263</v>
      </c>
      <c r="G147" s="213" t="s">
        <v>382</v>
      </c>
      <c r="H147" s="78"/>
      <c r="I147" s="92"/>
      <c r="J147" s="92"/>
      <c r="K147" s="92"/>
      <c r="L147" s="92"/>
      <c r="M147" s="229"/>
      <c r="N147" s="215">
        <f t="shared" si="2"/>
        <v>0</v>
      </c>
      <c r="O147" s="229"/>
      <c r="P147" s="211"/>
    </row>
    <row r="148" spans="1:16" s="7" customFormat="1" ht="18.75" customHeight="1">
      <c r="A148" s="228">
        <v>143</v>
      </c>
      <c r="B148" s="213" t="s">
        <v>612</v>
      </c>
      <c r="C148" s="213" t="s">
        <v>613</v>
      </c>
      <c r="D148" s="213" t="s">
        <v>614</v>
      </c>
      <c r="E148" s="213" t="s">
        <v>271</v>
      </c>
      <c r="F148" s="213" t="s">
        <v>272</v>
      </c>
      <c r="G148" s="213" t="s">
        <v>382</v>
      </c>
      <c r="H148" s="78"/>
      <c r="I148" s="92"/>
      <c r="J148" s="92"/>
      <c r="K148" s="92"/>
      <c r="L148" s="92"/>
      <c r="M148" s="229"/>
      <c r="N148" s="215">
        <f t="shared" si="2"/>
        <v>0</v>
      </c>
      <c r="O148" s="229"/>
      <c r="P148" s="211"/>
    </row>
    <row r="149" spans="1:16" s="7" customFormat="1" ht="18.75" customHeight="1">
      <c r="A149" s="228">
        <v>144</v>
      </c>
      <c r="B149" s="213" t="s">
        <v>495</v>
      </c>
      <c r="C149" s="213" t="s">
        <v>496</v>
      </c>
      <c r="D149" s="213" t="s">
        <v>497</v>
      </c>
      <c r="E149" s="213" t="s">
        <v>30</v>
      </c>
      <c r="F149" s="213" t="s">
        <v>31</v>
      </c>
      <c r="G149" s="213" t="s">
        <v>392</v>
      </c>
      <c r="H149" s="78"/>
      <c r="I149" s="92"/>
      <c r="J149" s="92"/>
      <c r="K149" s="92"/>
      <c r="L149" s="92"/>
      <c r="M149" s="229"/>
      <c r="N149" s="215">
        <f t="shared" si="2"/>
        <v>0</v>
      </c>
      <c r="O149" s="229"/>
      <c r="P149" s="211"/>
    </row>
    <row r="150" spans="1:16" s="7" customFormat="1" ht="18.75" customHeight="1">
      <c r="A150" s="228">
        <v>145</v>
      </c>
      <c r="B150" s="213" t="s">
        <v>501</v>
      </c>
      <c r="C150" s="213" t="s">
        <v>502</v>
      </c>
      <c r="D150" s="213" t="s">
        <v>464</v>
      </c>
      <c r="E150" s="213" t="s">
        <v>30</v>
      </c>
      <c r="F150" s="213" t="s">
        <v>31</v>
      </c>
      <c r="G150" s="213" t="s">
        <v>392</v>
      </c>
      <c r="H150" s="78"/>
      <c r="I150" s="92"/>
      <c r="J150" s="92"/>
      <c r="K150" s="92"/>
      <c r="L150" s="92"/>
      <c r="M150" s="229"/>
      <c r="N150" s="215">
        <f t="shared" si="2"/>
        <v>0</v>
      </c>
      <c r="O150" s="229"/>
      <c r="P150" s="211"/>
    </row>
    <row r="151" spans="1:16" s="7" customFormat="1" ht="18.75" customHeight="1">
      <c r="A151" s="228">
        <v>146</v>
      </c>
      <c r="B151" s="213" t="s">
        <v>463</v>
      </c>
      <c r="C151" s="213" t="s">
        <v>464</v>
      </c>
      <c r="D151" s="213" t="s">
        <v>464</v>
      </c>
      <c r="E151" s="213" t="s">
        <v>30</v>
      </c>
      <c r="F151" s="213" t="s">
        <v>31</v>
      </c>
      <c r="G151" s="213" t="s">
        <v>392</v>
      </c>
      <c r="H151" s="78"/>
      <c r="I151" s="92"/>
      <c r="J151" s="92"/>
      <c r="K151" s="92"/>
      <c r="L151" s="92"/>
      <c r="M151" s="229"/>
      <c r="N151" s="215">
        <f t="shared" si="2"/>
        <v>0</v>
      </c>
      <c r="O151" s="229"/>
      <c r="P151" s="211"/>
    </row>
    <row r="152" spans="1:16" s="7" customFormat="1" ht="18.75" customHeight="1">
      <c r="A152" s="228">
        <v>147</v>
      </c>
      <c r="B152" s="213" t="s">
        <v>498</v>
      </c>
      <c r="C152" s="213" t="s">
        <v>499</v>
      </c>
      <c r="D152" s="213" t="s">
        <v>500</v>
      </c>
      <c r="E152" s="213" t="s">
        <v>104</v>
      </c>
      <c r="F152" s="213" t="s">
        <v>105</v>
      </c>
      <c r="G152" s="213" t="s">
        <v>392</v>
      </c>
      <c r="H152" s="78"/>
      <c r="I152" s="92"/>
      <c r="J152" s="92"/>
      <c r="K152" s="92"/>
      <c r="L152" s="92"/>
      <c r="M152" s="229"/>
      <c r="N152" s="215">
        <f t="shared" si="2"/>
        <v>0</v>
      </c>
      <c r="O152" s="229"/>
      <c r="P152" s="211"/>
    </row>
    <row r="153" spans="1:16" s="7" customFormat="1" ht="18.75" customHeight="1">
      <c r="A153" s="228">
        <v>148</v>
      </c>
      <c r="B153" s="213" t="s">
        <v>503</v>
      </c>
      <c r="C153" s="213" t="s">
        <v>476</v>
      </c>
      <c r="D153" s="213" t="s">
        <v>500</v>
      </c>
      <c r="E153" s="213" t="s">
        <v>104</v>
      </c>
      <c r="F153" s="213" t="s">
        <v>105</v>
      </c>
      <c r="G153" s="213" t="s">
        <v>392</v>
      </c>
      <c r="H153" s="78"/>
      <c r="I153" s="92"/>
      <c r="J153" s="92"/>
      <c r="K153" s="92"/>
      <c r="L153" s="92"/>
      <c r="M153" s="229"/>
      <c r="N153" s="215">
        <f t="shared" si="2"/>
        <v>0</v>
      </c>
      <c r="O153" s="229"/>
      <c r="P153" s="211"/>
    </row>
    <row r="154" spans="1:16" s="7" customFormat="1" ht="18.75" customHeight="1">
      <c r="A154" s="228">
        <v>149</v>
      </c>
      <c r="B154" s="213" t="s">
        <v>504</v>
      </c>
      <c r="C154" s="213" t="s">
        <v>505</v>
      </c>
      <c r="D154" s="213" t="s">
        <v>506</v>
      </c>
      <c r="E154" s="213" t="s">
        <v>248</v>
      </c>
      <c r="F154" s="213" t="s">
        <v>249</v>
      </c>
      <c r="G154" s="213" t="s">
        <v>392</v>
      </c>
      <c r="H154" s="78"/>
      <c r="I154" s="92"/>
      <c r="J154" s="92"/>
      <c r="K154" s="92"/>
      <c r="L154" s="92"/>
      <c r="M154" s="229"/>
      <c r="N154" s="215">
        <f t="shared" si="2"/>
        <v>0</v>
      </c>
      <c r="O154" s="229"/>
      <c r="P154" s="211"/>
    </row>
    <row r="155" spans="1:16" s="7" customFormat="1" ht="18.75" customHeight="1">
      <c r="A155" s="228">
        <v>150</v>
      </c>
      <c r="B155" s="213" t="s">
        <v>789</v>
      </c>
      <c r="C155" s="213" t="s">
        <v>790</v>
      </c>
      <c r="D155" s="213" t="s">
        <v>520</v>
      </c>
      <c r="E155" s="213" t="s">
        <v>49</v>
      </c>
      <c r="F155" s="213" t="s">
        <v>50</v>
      </c>
      <c r="G155" s="213" t="s">
        <v>1184</v>
      </c>
      <c r="H155" s="78"/>
      <c r="I155" s="92"/>
      <c r="J155" s="92"/>
      <c r="K155" s="92"/>
      <c r="L155" s="92"/>
      <c r="M155" s="229"/>
      <c r="N155" s="215">
        <f t="shared" si="2"/>
        <v>0</v>
      </c>
      <c r="O155" s="229"/>
      <c r="P155" s="211"/>
    </row>
    <row r="156" spans="1:16" s="7" customFormat="1" ht="18.75" customHeight="1">
      <c r="A156" s="228">
        <v>151</v>
      </c>
      <c r="B156" s="213" t="s">
        <v>518</v>
      </c>
      <c r="C156" s="213" t="s">
        <v>519</v>
      </c>
      <c r="D156" s="213" t="s">
        <v>520</v>
      </c>
      <c r="E156" s="213" t="s">
        <v>49</v>
      </c>
      <c r="F156" s="213" t="s">
        <v>50</v>
      </c>
      <c r="G156" s="213" t="s">
        <v>1184</v>
      </c>
      <c r="H156" s="78"/>
      <c r="I156" s="92"/>
      <c r="J156" s="92"/>
      <c r="K156" s="92"/>
      <c r="L156" s="92"/>
      <c r="M156" s="229"/>
      <c r="N156" s="215">
        <f t="shared" si="2"/>
        <v>0</v>
      </c>
      <c r="O156" s="229"/>
      <c r="P156" s="211"/>
    </row>
    <row r="157" spans="1:16" s="7" customFormat="1" ht="18.75" customHeight="1">
      <c r="A157" s="228">
        <v>152</v>
      </c>
      <c r="B157" s="213" t="s">
        <v>1017</v>
      </c>
      <c r="C157" s="213" t="s">
        <v>1018</v>
      </c>
      <c r="D157" s="213" t="s">
        <v>1016</v>
      </c>
      <c r="E157" s="213" t="s">
        <v>229</v>
      </c>
      <c r="F157" s="213" t="s">
        <v>230</v>
      </c>
      <c r="G157" s="213" t="s">
        <v>1184</v>
      </c>
      <c r="H157" s="78"/>
      <c r="I157" s="92"/>
      <c r="J157" s="92"/>
      <c r="K157" s="92"/>
      <c r="L157" s="92"/>
      <c r="M157" s="229"/>
      <c r="N157" s="215">
        <f t="shared" si="2"/>
        <v>0</v>
      </c>
      <c r="O157" s="229"/>
      <c r="P157" s="211"/>
    </row>
    <row r="158" spans="1:16" s="7" customFormat="1" ht="18.75" customHeight="1">
      <c r="A158" s="228">
        <v>153</v>
      </c>
      <c r="B158" s="213" t="s">
        <v>689</v>
      </c>
      <c r="C158" s="213" t="s">
        <v>1015</v>
      </c>
      <c r="D158" s="213" t="s">
        <v>1016</v>
      </c>
      <c r="E158" s="213" t="s">
        <v>229</v>
      </c>
      <c r="F158" s="213" t="s">
        <v>230</v>
      </c>
      <c r="G158" s="213" t="s">
        <v>1184</v>
      </c>
      <c r="H158" s="78"/>
      <c r="I158" s="92"/>
      <c r="J158" s="92"/>
      <c r="K158" s="92"/>
      <c r="L158" s="92"/>
      <c r="M158" s="229"/>
      <c r="N158" s="215">
        <f t="shared" si="2"/>
        <v>0</v>
      </c>
      <c r="O158" s="229"/>
      <c r="P158" s="211"/>
    </row>
    <row r="159" spans="1:16" s="7" customFormat="1" ht="18.75" customHeight="1">
      <c r="A159" s="228">
        <v>154</v>
      </c>
      <c r="B159" s="213" t="s">
        <v>849</v>
      </c>
      <c r="C159" s="213" t="s">
        <v>850</v>
      </c>
      <c r="D159" s="213" t="s">
        <v>851</v>
      </c>
      <c r="E159" s="213" t="s">
        <v>229</v>
      </c>
      <c r="F159" s="213" t="s">
        <v>230</v>
      </c>
      <c r="G159" s="213" t="s">
        <v>1184</v>
      </c>
      <c r="H159" s="78"/>
      <c r="I159" s="92"/>
      <c r="J159" s="92"/>
      <c r="K159" s="92"/>
      <c r="L159" s="92"/>
      <c r="M159" s="229"/>
      <c r="N159" s="215">
        <f t="shared" si="2"/>
        <v>0</v>
      </c>
      <c r="O159" s="229"/>
      <c r="P159" s="211"/>
    </row>
    <row r="160" spans="1:16" s="7" customFormat="1" ht="18.75" customHeight="1">
      <c r="A160" s="228">
        <v>155</v>
      </c>
      <c r="B160" s="213" t="s">
        <v>1065</v>
      </c>
      <c r="C160" s="213" t="s">
        <v>1066</v>
      </c>
      <c r="D160" s="213" t="s">
        <v>1066</v>
      </c>
      <c r="E160" s="213" t="s">
        <v>149</v>
      </c>
      <c r="F160" s="213" t="s">
        <v>151</v>
      </c>
      <c r="G160" s="213" t="s">
        <v>1185</v>
      </c>
      <c r="H160" s="78"/>
      <c r="I160" s="92"/>
      <c r="J160" s="92"/>
      <c r="K160" s="92"/>
      <c r="L160" s="92"/>
      <c r="M160" s="229"/>
      <c r="N160" s="215">
        <f t="shared" si="2"/>
        <v>0</v>
      </c>
      <c r="O160" s="229"/>
      <c r="P160" s="211"/>
    </row>
    <row r="161" spans="1:16" s="7" customFormat="1" ht="18.75" customHeight="1">
      <c r="A161" s="228">
        <v>156</v>
      </c>
      <c r="B161" s="213" t="s">
        <v>915</v>
      </c>
      <c r="C161" s="213" t="s">
        <v>916</v>
      </c>
      <c r="D161" s="213" t="s">
        <v>917</v>
      </c>
      <c r="E161" s="213" t="s">
        <v>149</v>
      </c>
      <c r="F161" s="213" t="s">
        <v>150</v>
      </c>
      <c r="G161" s="213" t="s">
        <v>1185</v>
      </c>
      <c r="H161" s="78"/>
      <c r="I161" s="92"/>
      <c r="J161" s="92"/>
      <c r="K161" s="92"/>
      <c r="L161" s="92"/>
      <c r="M161" s="229"/>
      <c r="N161" s="215">
        <f t="shared" si="2"/>
        <v>0</v>
      </c>
      <c r="O161" s="229"/>
      <c r="P161" s="211"/>
    </row>
    <row r="162" spans="1:16" s="7" customFormat="1" ht="18.75" customHeight="1">
      <c r="A162" s="228">
        <v>157</v>
      </c>
      <c r="B162" s="213" t="s">
        <v>487</v>
      </c>
      <c r="C162" s="213" t="s">
        <v>488</v>
      </c>
      <c r="D162" s="213" t="s">
        <v>489</v>
      </c>
      <c r="E162" s="213" t="s">
        <v>149</v>
      </c>
      <c r="F162" s="213" t="s">
        <v>150</v>
      </c>
      <c r="G162" s="213" t="s">
        <v>1185</v>
      </c>
      <c r="H162" s="78"/>
      <c r="I162" s="92"/>
      <c r="J162" s="92"/>
      <c r="K162" s="92"/>
      <c r="L162" s="92"/>
      <c r="M162" s="229"/>
      <c r="N162" s="215">
        <f t="shared" si="2"/>
        <v>0</v>
      </c>
      <c r="O162" s="229"/>
      <c r="P162" s="211"/>
    </row>
    <row r="163" spans="1:16" s="7" customFormat="1" ht="18.75" customHeight="1">
      <c r="A163" s="228">
        <v>158</v>
      </c>
      <c r="B163" s="213" t="s">
        <v>484</v>
      </c>
      <c r="C163" s="213" t="s">
        <v>485</v>
      </c>
      <c r="D163" s="213" t="s">
        <v>486</v>
      </c>
      <c r="E163" s="213" t="s">
        <v>216</v>
      </c>
      <c r="F163" s="213" t="s">
        <v>217</v>
      </c>
      <c r="G163" s="213" t="s">
        <v>1185</v>
      </c>
      <c r="H163" s="78"/>
      <c r="I163" s="92"/>
      <c r="J163" s="92"/>
      <c r="K163" s="92"/>
      <c r="L163" s="92"/>
      <c r="M163" s="229"/>
      <c r="N163" s="215">
        <f t="shared" si="2"/>
        <v>0</v>
      </c>
      <c r="O163" s="229"/>
      <c r="P163" s="211"/>
    </row>
    <row r="164" spans="1:16" s="7" customFormat="1" ht="18.75" customHeight="1">
      <c r="A164" s="228">
        <v>159</v>
      </c>
      <c r="B164" s="213" t="s">
        <v>837</v>
      </c>
      <c r="C164" s="213" t="s">
        <v>486</v>
      </c>
      <c r="D164" s="213" t="s">
        <v>486</v>
      </c>
      <c r="E164" s="213" t="s">
        <v>216</v>
      </c>
      <c r="F164" s="213" t="s">
        <v>217</v>
      </c>
      <c r="G164" s="213" t="s">
        <v>1185</v>
      </c>
      <c r="H164" s="78"/>
      <c r="I164" s="92"/>
      <c r="J164" s="92"/>
      <c r="K164" s="92"/>
      <c r="L164" s="92"/>
      <c r="M164" s="229"/>
      <c r="N164" s="215">
        <f t="shared" si="2"/>
        <v>0</v>
      </c>
      <c r="O164" s="229"/>
      <c r="P164" s="211"/>
    </row>
    <row r="165" spans="1:16" s="7" customFormat="1" ht="18.75" customHeight="1">
      <c r="A165" s="228">
        <v>160</v>
      </c>
      <c r="B165" s="213" t="s">
        <v>834</v>
      </c>
      <c r="C165" s="213" t="s">
        <v>835</v>
      </c>
      <c r="D165" s="213" t="s">
        <v>836</v>
      </c>
      <c r="E165" s="213" t="s">
        <v>216</v>
      </c>
      <c r="F165" s="213" t="s">
        <v>217</v>
      </c>
      <c r="G165" s="213" t="s">
        <v>1185</v>
      </c>
      <c r="H165" s="78"/>
      <c r="I165" s="92"/>
      <c r="J165" s="92"/>
      <c r="K165" s="92"/>
      <c r="L165" s="92"/>
      <c r="M165" s="229"/>
      <c r="N165" s="215">
        <f t="shared" si="2"/>
        <v>0</v>
      </c>
      <c r="O165" s="229"/>
      <c r="P165" s="211"/>
    </row>
    <row r="166" spans="1:16" s="7" customFormat="1" ht="18.75" customHeight="1">
      <c r="A166" s="228">
        <v>161</v>
      </c>
      <c r="B166" s="213" t="s">
        <v>1048</v>
      </c>
      <c r="C166" s="213" t="s">
        <v>1049</v>
      </c>
      <c r="D166" s="213" t="s">
        <v>1050</v>
      </c>
      <c r="E166" s="213" t="s">
        <v>32</v>
      </c>
      <c r="F166" s="213" t="s">
        <v>33</v>
      </c>
      <c r="G166" s="213" t="s">
        <v>388</v>
      </c>
      <c r="H166" s="78"/>
      <c r="I166" s="92"/>
      <c r="J166" s="92"/>
      <c r="K166" s="92"/>
      <c r="L166" s="92"/>
      <c r="M166" s="229"/>
      <c r="N166" s="215">
        <f t="shared" si="2"/>
        <v>0</v>
      </c>
      <c r="O166" s="229"/>
      <c r="P166" s="211"/>
    </row>
    <row r="167" spans="1:16" s="7" customFormat="1" ht="18.75" customHeight="1">
      <c r="A167" s="228">
        <v>162</v>
      </c>
      <c r="B167" s="213" t="s">
        <v>580</v>
      </c>
      <c r="C167" s="213" t="s">
        <v>581</v>
      </c>
      <c r="D167" s="213" t="s">
        <v>582</v>
      </c>
      <c r="E167" s="213" t="s">
        <v>241</v>
      </c>
      <c r="F167" s="213" t="s">
        <v>242</v>
      </c>
      <c r="G167" s="213" t="s">
        <v>388</v>
      </c>
      <c r="H167" s="78"/>
      <c r="I167" s="92"/>
      <c r="J167" s="92"/>
      <c r="K167" s="92"/>
      <c r="L167" s="92"/>
      <c r="M167" s="229"/>
      <c r="N167" s="215">
        <f t="shared" si="2"/>
        <v>0</v>
      </c>
      <c r="O167" s="229"/>
      <c r="P167" s="211"/>
    </row>
    <row r="168" spans="1:16" s="7" customFormat="1" ht="18.75" customHeight="1">
      <c r="A168" s="228">
        <v>163</v>
      </c>
      <c r="B168" s="213" t="s">
        <v>1045</v>
      </c>
      <c r="C168" s="213" t="s">
        <v>1046</v>
      </c>
      <c r="D168" s="213" t="s">
        <v>1047</v>
      </c>
      <c r="E168" s="213" t="s">
        <v>268</v>
      </c>
      <c r="F168" s="213" t="s">
        <v>269</v>
      </c>
      <c r="G168" s="213" t="s">
        <v>388</v>
      </c>
      <c r="H168" s="78"/>
      <c r="I168" s="92"/>
      <c r="J168" s="92"/>
      <c r="K168" s="92"/>
      <c r="L168" s="92"/>
      <c r="M168" s="229"/>
      <c r="N168" s="215">
        <f t="shared" si="2"/>
        <v>0</v>
      </c>
      <c r="O168" s="229"/>
      <c r="P168" s="211"/>
    </row>
    <row r="169" spans="1:16" s="7" customFormat="1" ht="18.75" customHeight="1">
      <c r="A169" s="228">
        <v>164</v>
      </c>
      <c r="B169" s="213" t="s">
        <v>953</v>
      </c>
      <c r="C169" s="213" t="s">
        <v>954</v>
      </c>
      <c r="D169" s="213" t="s">
        <v>954</v>
      </c>
      <c r="E169" s="213" t="s">
        <v>119</v>
      </c>
      <c r="F169" s="213" t="s">
        <v>120</v>
      </c>
      <c r="G169" s="213" t="s">
        <v>380</v>
      </c>
      <c r="H169" s="78"/>
      <c r="I169" s="92"/>
      <c r="J169" s="92"/>
      <c r="K169" s="92"/>
      <c r="L169" s="92"/>
      <c r="M169" s="229"/>
      <c r="N169" s="215">
        <f t="shared" si="2"/>
        <v>0</v>
      </c>
      <c r="O169" s="229"/>
      <c r="P169" s="211"/>
    </row>
    <row r="170" spans="1:16" s="7" customFormat="1" ht="18.75" customHeight="1">
      <c r="A170" s="228">
        <v>165</v>
      </c>
      <c r="B170" s="213" t="s">
        <v>424</v>
      </c>
      <c r="C170" s="213" t="s">
        <v>425</v>
      </c>
      <c r="D170" s="213" t="s">
        <v>426</v>
      </c>
      <c r="E170" s="213" t="s">
        <v>119</v>
      </c>
      <c r="F170" s="213" t="s">
        <v>120</v>
      </c>
      <c r="G170" s="213" t="s">
        <v>380</v>
      </c>
      <c r="H170" s="78"/>
      <c r="I170" s="92"/>
      <c r="J170" s="92"/>
      <c r="K170" s="92"/>
      <c r="L170" s="92"/>
      <c r="M170" s="229"/>
      <c r="N170" s="215">
        <f t="shared" si="2"/>
        <v>0</v>
      </c>
      <c r="O170" s="229"/>
      <c r="P170" s="211"/>
    </row>
    <row r="171" spans="1:16" s="7" customFormat="1" ht="18.75" customHeight="1">
      <c r="A171" s="228">
        <v>166</v>
      </c>
      <c r="B171" s="213" t="s">
        <v>811</v>
      </c>
      <c r="C171" s="213" t="s">
        <v>812</v>
      </c>
      <c r="D171" s="213" t="s">
        <v>813</v>
      </c>
      <c r="E171" s="213" t="s">
        <v>119</v>
      </c>
      <c r="F171" s="213" t="s">
        <v>120</v>
      </c>
      <c r="G171" s="213" t="s">
        <v>380</v>
      </c>
      <c r="H171" s="78"/>
      <c r="I171" s="92"/>
      <c r="J171" s="92"/>
      <c r="K171" s="92"/>
      <c r="L171" s="92"/>
      <c r="M171" s="229"/>
      <c r="N171" s="215">
        <f t="shared" si="2"/>
        <v>0</v>
      </c>
      <c r="O171" s="229"/>
      <c r="P171" s="211"/>
    </row>
    <row r="172" spans="1:16" s="7" customFormat="1" ht="18.75" customHeight="1">
      <c r="A172" s="228">
        <v>167</v>
      </c>
      <c r="B172" s="213" t="s">
        <v>732</v>
      </c>
      <c r="C172" s="213" t="s">
        <v>733</v>
      </c>
      <c r="D172" s="213" t="s">
        <v>734</v>
      </c>
      <c r="E172" s="213" t="s">
        <v>266</v>
      </c>
      <c r="F172" s="213" t="s">
        <v>267</v>
      </c>
      <c r="G172" s="213" t="s">
        <v>380</v>
      </c>
      <c r="H172" s="78"/>
      <c r="I172" s="92"/>
      <c r="J172" s="92"/>
      <c r="K172" s="92"/>
      <c r="L172" s="92"/>
      <c r="M172" s="229"/>
      <c r="N172" s="215">
        <f t="shared" si="2"/>
        <v>0</v>
      </c>
      <c r="O172" s="229"/>
      <c r="P172" s="211"/>
    </row>
    <row r="173" spans="1:16" s="7" customFormat="1" ht="18.75" customHeight="1">
      <c r="A173" s="228">
        <v>168</v>
      </c>
      <c r="B173" s="213" t="s">
        <v>955</v>
      </c>
      <c r="C173" s="213" t="s">
        <v>956</v>
      </c>
      <c r="D173" s="213" t="s">
        <v>395</v>
      </c>
      <c r="E173" s="213" t="s">
        <v>266</v>
      </c>
      <c r="F173" s="213" t="s">
        <v>267</v>
      </c>
      <c r="G173" s="213" t="s">
        <v>380</v>
      </c>
      <c r="H173" s="78"/>
      <c r="I173" s="92"/>
      <c r="J173" s="92"/>
      <c r="K173" s="92"/>
      <c r="L173" s="92"/>
      <c r="M173" s="229"/>
      <c r="N173" s="215">
        <f t="shared" si="2"/>
        <v>0</v>
      </c>
      <c r="O173" s="229"/>
      <c r="P173" s="211"/>
    </row>
    <row r="174" spans="1:16" s="7" customFormat="1" ht="18.75" customHeight="1">
      <c r="A174" s="228">
        <v>169</v>
      </c>
      <c r="B174" s="213" t="s">
        <v>409</v>
      </c>
      <c r="C174" s="213" t="s">
        <v>410</v>
      </c>
      <c r="D174" s="213" t="s">
        <v>411</v>
      </c>
      <c r="E174" s="213" t="s">
        <v>51</v>
      </c>
      <c r="F174" s="213" t="s">
        <v>52</v>
      </c>
      <c r="G174" s="213" t="s">
        <v>384</v>
      </c>
      <c r="H174" s="78"/>
      <c r="I174" s="92"/>
      <c r="J174" s="92"/>
      <c r="K174" s="92"/>
      <c r="L174" s="92"/>
      <c r="M174" s="229"/>
      <c r="N174" s="215">
        <f t="shared" si="2"/>
        <v>0</v>
      </c>
      <c r="O174" s="229"/>
      <c r="P174" s="211"/>
    </row>
    <row r="175" spans="1:16" s="7" customFormat="1" ht="18.75" customHeight="1">
      <c r="A175" s="228">
        <v>170</v>
      </c>
      <c r="B175" s="213" t="s">
        <v>995</v>
      </c>
      <c r="C175" s="213" t="s">
        <v>996</v>
      </c>
      <c r="D175" s="213" t="s">
        <v>411</v>
      </c>
      <c r="E175" s="213" t="s">
        <v>51</v>
      </c>
      <c r="F175" s="213" t="s">
        <v>52</v>
      </c>
      <c r="G175" s="213" t="s">
        <v>384</v>
      </c>
      <c r="H175" s="78"/>
      <c r="I175" s="92"/>
      <c r="J175" s="92"/>
      <c r="K175" s="92"/>
      <c r="L175" s="92"/>
      <c r="M175" s="229"/>
      <c r="N175" s="215">
        <f t="shared" si="2"/>
        <v>0</v>
      </c>
      <c r="O175" s="229"/>
      <c r="P175" s="211"/>
    </row>
    <row r="176" spans="1:16" s="7" customFormat="1" ht="18.75" customHeight="1">
      <c r="A176" s="228">
        <v>171</v>
      </c>
      <c r="B176" s="213" t="s">
        <v>1194</v>
      </c>
      <c r="C176" s="213" t="s">
        <v>1006</v>
      </c>
      <c r="D176" s="213" t="s">
        <v>1006</v>
      </c>
      <c r="E176" s="213" t="s">
        <v>56</v>
      </c>
      <c r="F176" s="213" t="s">
        <v>1195</v>
      </c>
      <c r="G176" s="213" t="s">
        <v>384</v>
      </c>
      <c r="H176" s="78"/>
      <c r="I176" s="92"/>
      <c r="J176" s="92"/>
      <c r="K176" s="92"/>
      <c r="L176" s="92"/>
      <c r="M176" s="229"/>
      <c r="N176" s="215">
        <f t="shared" si="2"/>
        <v>0</v>
      </c>
      <c r="O176" s="229"/>
      <c r="P176" s="211"/>
    </row>
    <row r="177" spans="1:16" s="7" customFormat="1" ht="18.75" customHeight="1">
      <c r="A177" s="228">
        <v>172</v>
      </c>
      <c r="B177" s="213" t="s">
        <v>842</v>
      </c>
      <c r="C177" s="213" t="s">
        <v>843</v>
      </c>
      <c r="D177" s="213" t="s">
        <v>844</v>
      </c>
      <c r="E177" s="213" t="s">
        <v>56</v>
      </c>
      <c r="F177" s="213" t="s">
        <v>57</v>
      </c>
      <c r="G177" s="213" t="s">
        <v>384</v>
      </c>
      <c r="H177" s="78"/>
      <c r="I177" s="92"/>
      <c r="J177" s="92"/>
      <c r="K177" s="92"/>
      <c r="L177" s="92"/>
      <c r="M177" s="229"/>
      <c r="N177" s="215">
        <f t="shared" si="2"/>
        <v>0</v>
      </c>
      <c r="O177" s="229"/>
      <c r="P177" s="211"/>
    </row>
    <row r="178" spans="1:16" s="7" customFormat="1" ht="18.75" customHeight="1">
      <c r="A178" s="228">
        <v>173</v>
      </c>
      <c r="B178" s="213" t="s">
        <v>475</v>
      </c>
      <c r="C178" s="213" t="s">
        <v>476</v>
      </c>
      <c r="D178" s="213" t="s">
        <v>395</v>
      </c>
      <c r="E178" s="213" t="s">
        <v>85</v>
      </c>
      <c r="F178" s="213" t="s">
        <v>86</v>
      </c>
      <c r="G178" s="213" t="s">
        <v>384</v>
      </c>
      <c r="H178" s="78"/>
      <c r="I178" s="92"/>
      <c r="J178" s="92"/>
      <c r="K178" s="92"/>
      <c r="L178" s="92"/>
      <c r="M178" s="229"/>
      <c r="N178" s="215">
        <f t="shared" si="2"/>
        <v>0</v>
      </c>
      <c r="O178" s="229"/>
      <c r="P178" s="211"/>
    </row>
    <row r="179" spans="1:16" s="7" customFormat="1" ht="18.75" customHeight="1">
      <c r="A179" s="228">
        <v>174</v>
      </c>
      <c r="B179" s="213" t="s">
        <v>539</v>
      </c>
      <c r="C179" s="213" t="s">
        <v>476</v>
      </c>
      <c r="D179" s="213" t="s">
        <v>395</v>
      </c>
      <c r="E179" s="213" t="s">
        <v>85</v>
      </c>
      <c r="F179" s="213" t="s">
        <v>86</v>
      </c>
      <c r="G179" s="213" t="s">
        <v>384</v>
      </c>
      <c r="H179" s="78"/>
      <c r="I179" s="92"/>
      <c r="J179" s="92"/>
      <c r="K179" s="92"/>
      <c r="L179" s="92"/>
      <c r="M179" s="229"/>
      <c r="N179" s="215">
        <f t="shared" si="2"/>
        <v>0</v>
      </c>
      <c r="O179" s="229"/>
      <c r="P179" s="211"/>
    </row>
    <row r="180" spans="1:16" s="7" customFormat="1" ht="18.75" customHeight="1">
      <c r="A180" s="228">
        <v>175</v>
      </c>
      <c r="B180" s="213" t="s">
        <v>529</v>
      </c>
      <c r="C180" s="213" t="s">
        <v>530</v>
      </c>
      <c r="D180" s="213" t="s">
        <v>395</v>
      </c>
      <c r="E180" s="213" t="s">
        <v>85</v>
      </c>
      <c r="F180" s="213" t="s">
        <v>86</v>
      </c>
      <c r="G180" s="213" t="s">
        <v>384</v>
      </c>
      <c r="H180" s="78"/>
      <c r="I180" s="92"/>
      <c r="J180" s="92"/>
      <c r="K180" s="92"/>
      <c r="L180" s="92"/>
      <c r="M180" s="229"/>
      <c r="N180" s="215">
        <f t="shared" si="2"/>
        <v>0</v>
      </c>
      <c r="O180" s="229"/>
      <c r="P180" s="211"/>
    </row>
    <row r="181" spans="1:16" s="7" customFormat="1" ht="18.75" customHeight="1">
      <c r="A181" s="228">
        <v>176</v>
      </c>
      <c r="B181" s="213" t="s">
        <v>911</v>
      </c>
      <c r="C181" s="213" t="s">
        <v>912</v>
      </c>
      <c r="D181" s="213" t="s">
        <v>913</v>
      </c>
      <c r="E181" s="213" t="s">
        <v>85</v>
      </c>
      <c r="F181" s="213" t="s">
        <v>86</v>
      </c>
      <c r="G181" s="213" t="s">
        <v>386</v>
      </c>
      <c r="H181" s="78"/>
      <c r="I181" s="92"/>
      <c r="J181" s="92"/>
      <c r="K181" s="92"/>
      <c r="L181" s="92"/>
      <c r="M181" s="229"/>
      <c r="N181" s="215">
        <f t="shared" si="2"/>
        <v>0</v>
      </c>
      <c r="O181" s="229"/>
      <c r="P181" s="211"/>
    </row>
    <row r="182" spans="1:16" s="7" customFormat="1" ht="18.75" customHeight="1">
      <c r="A182" s="228">
        <v>177</v>
      </c>
      <c r="B182" s="213" t="s">
        <v>1022</v>
      </c>
      <c r="C182" s="213" t="s">
        <v>912</v>
      </c>
      <c r="D182" s="213" t="s">
        <v>913</v>
      </c>
      <c r="E182" s="213" t="s">
        <v>85</v>
      </c>
      <c r="F182" s="213" t="s">
        <v>86</v>
      </c>
      <c r="G182" s="213" t="s">
        <v>386</v>
      </c>
      <c r="H182" s="78"/>
      <c r="I182" s="92"/>
      <c r="J182" s="92"/>
      <c r="K182" s="92"/>
      <c r="L182" s="92"/>
      <c r="M182" s="229"/>
      <c r="N182" s="215">
        <f t="shared" si="2"/>
        <v>0</v>
      </c>
      <c r="O182" s="229"/>
      <c r="P182" s="211"/>
    </row>
    <row r="183" spans="1:16" s="7" customFormat="1" ht="18.75" customHeight="1">
      <c r="A183" s="228">
        <v>178</v>
      </c>
      <c r="B183" s="213" t="s">
        <v>526</v>
      </c>
      <c r="C183" s="213" t="s">
        <v>527</v>
      </c>
      <c r="D183" s="213" t="s">
        <v>528</v>
      </c>
      <c r="E183" s="213" t="s">
        <v>132</v>
      </c>
      <c r="F183" s="213" t="s">
        <v>133</v>
      </c>
      <c r="G183" s="213" t="s">
        <v>386</v>
      </c>
      <c r="H183" s="78"/>
      <c r="I183" s="92"/>
      <c r="J183" s="92"/>
      <c r="K183" s="92"/>
      <c r="L183" s="92"/>
      <c r="M183" s="229"/>
      <c r="N183" s="215">
        <f t="shared" si="2"/>
        <v>0</v>
      </c>
      <c r="O183" s="229"/>
      <c r="P183" s="211"/>
    </row>
    <row r="184" spans="1:16" s="7" customFormat="1" ht="18.75" customHeight="1">
      <c r="A184" s="228">
        <v>179</v>
      </c>
      <c r="B184" s="213" t="s">
        <v>1009</v>
      </c>
      <c r="C184" s="213" t="s">
        <v>1010</v>
      </c>
      <c r="D184" s="213" t="s">
        <v>395</v>
      </c>
      <c r="E184" s="213" t="s">
        <v>132</v>
      </c>
      <c r="F184" s="213" t="s">
        <v>133</v>
      </c>
      <c r="G184" s="213" t="s">
        <v>386</v>
      </c>
      <c r="H184" s="78"/>
      <c r="I184" s="92"/>
      <c r="J184" s="92"/>
      <c r="K184" s="92"/>
      <c r="L184" s="92"/>
      <c r="M184" s="229"/>
      <c r="N184" s="215">
        <f t="shared" si="2"/>
        <v>0</v>
      </c>
      <c r="O184" s="229"/>
      <c r="P184" s="211"/>
    </row>
    <row r="185" spans="1:16" s="7" customFormat="1" ht="18.75" customHeight="1">
      <c r="A185" s="228">
        <v>180</v>
      </c>
      <c r="B185" s="213" t="s">
        <v>1007</v>
      </c>
      <c r="C185" s="213" t="s">
        <v>1008</v>
      </c>
      <c r="D185" s="213" t="s">
        <v>395</v>
      </c>
      <c r="E185" s="213" t="s">
        <v>132</v>
      </c>
      <c r="F185" s="213" t="s">
        <v>133</v>
      </c>
      <c r="G185" s="213" t="s">
        <v>386</v>
      </c>
      <c r="H185" s="78"/>
      <c r="I185" s="92"/>
      <c r="J185" s="92"/>
      <c r="K185" s="92"/>
      <c r="L185" s="92"/>
      <c r="M185" s="229"/>
      <c r="N185" s="215">
        <f t="shared" si="2"/>
        <v>0</v>
      </c>
      <c r="O185" s="229"/>
      <c r="P185" s="211"/>
    </row>
    <row r="186" spans="1:16" s="7" customFormat="1" ht="18.75" customHeight="1">
      <c r="A186" s="228">
        <v>181</v>
      </c>
      <c r="B186" s="213" t="s">
        <v>852</v>
      </c>
      <c r="C186" s="213" t="s">
        <v>853</v>
      </c>
      <c r="D186" s="213" t="s">
        <v>854</v>
      </c>
      <c r="E186" s="213" t="s">
        <v>229</v>
      </c>
      <c r="F186" s="213" t="s">
        <v>230</v>
      </c>
      <c r="G186" s="213" t="s">
        <v>386</v>
      </c>
      <c r="H186" s="78"/>
      <c r="I186" s="92"/>
      <c r="J186" s="92"/>
      <c r="K186" s="92"/>
      <c r="L186" s="92"/>
      <c r="M186" s="229"/>
      <c r="N186" s="215">
        <f t="shared" si="2"/>
        <v>0</v>
      </c>
      <c r="O186" s="229"/>
      <c r="P186" s="211"/>
    </row>
    <row r="187" spans="1:16" s="7" customFormat="1" ht="18.75" customHeight="1">
      <c r="A187" s="228">
        <v>182</v>
      </c>
      <c r="B187" s="213" t="s">
        <v>461</v>
      </c>
      <c r="C187" s="213" t="s">
        <v>462</v>
      </c>
      <c r="D187" s="213" t="s">
        <v>395</v>
      </c>
      <c r="E187" s="213" t="s">
        <v>229</v>
      </c>
      <c r="F187" s="213" t="s">
        <v>230</v>
      </c>
      <c r="G187" s="213" t="s">
        <v>386</v>
      </c>
      <c r="H187" s="78"/>
      <c r="I187" s="92"/>
      <c r="J187" s="92"/>
      <c r="K187" s="92"/>
      <c r="L187" s="92"/>
      <c r="M187" s="229"/>
      <c r="N187" s="215">
        <f t="shared" si="2"/>
        <v>0</v>
      </c>
      <c r="O187" s="229"/>
      <c r="P187" s="211"/>
    </row>
    <row r="188" spans="1:16" s="7" customFormat="1" ht="18.75" customHeight="1">
      <c r="A188" s="228">
        <v>183</v>
      </c>
      <c r="B188" s="213" t="s">
        <v>1019</v>
      </c>
      <c r="C188" s="213" t="s">
        <v>1020</v>
      </c>
      <c r="D188" s="213" t="s">
        <v>1021</v>
      </c>
      <c r="E188" s="213" t="s">
        <v>229</v>
      </c>
      <c r="F188" s="213" t="s">
        <v>230</v>
      </c>
      <c r="G188" s="213" t="s">
        <v>386</v>
      </c>
      <c r="H188" s="78"/>
      <c r="I188" s="92"/>
      <c r="J188" s="92"/>
      <c r="K188" s="92"/>
      <c r="L188" s="92"/>
      <c r="M188" s="229"/>
      <c r="N188" s="215">
        <f t="shared" si="2"/>
        <v>0</v>
      </c>
      <c r="O188" s="229"/>
      <c r="P188" s="211"/>
    </row>
    <row r="189" spans="1:16" s="7" customFormat="1" ht="18.75" customHeight="1">
      <c r="A189" s="228">
        <v>184</v>
      </c>
      <c r="B189" s="213" t="s">
        <v>524</v>
      </c>
      <c r="C189" s="213" t="s">
        <v>525</v>
      </c>
      <c r="D189" s="213" t="s">
        <v>460</v>
      </c>
      <c r="E189" s="213" t="s">
        <v>229</v>
      </c>
      <c r="F189" s="213" t="s">
        <v>230</v>
      </c>
      <c r="G189" s="213" t="s">
        <v>386</v>
      </c>
      <c r="H189" s="78"/>
      <c r="I189" s="92"/>
      <c r="J189" s="92"/>
      <c r="K189" s="92"/>
      <c r="L189" s="92"/>
      <c r="M189" s="229"/>
      <c r="N189" s="215">
        <f t="shared" si="2"/>
        <v>0</v>
      </c>
      <c r="O189" s="229"/>
      <c r="P189" s="211"/>
    </row>
    <row r="190" spans="1:16" s="7" customFormat="1" ht="18.75" customHeight="1">
      <c r="A190" s="228">
        <v>185</v>
      </c>
      <c r="B190" s="213" t="s">
        <v>856</v>
      </c>
      <c r="C190" s="213" t="s">
        <v>525</v>
      </c>
      <c r="D190" s="213" t="s">
        <v>460</v>
      </c>
      <c r="E190" s="213" t="s">
        <v>229</v>
      </c>
      <c r="F190" s="213" t="s">
        <v>230</v>
      </c>
      <c r="G190" s="213" t="s">
        <v>386</v>
      </c>
      <c r="H190" s="78"/>
      <c r="I190" s="92"/>
      <c r="J190" s="92"/>
      <c r="K190" s="92"/>
      <c r="L190" s="92"/>
      <c r="M190" s="229"/>
      <c r="N190" s="215">
        <f t="shared" si="2"/>
        <v>0</v>
      </c>
      <c r="O190" s="229"/>
      <c r="P190" s="211"/>
    </row>
    <row r="191" spans="1:16" s="7" customFormat="1" ht="18.75" customHeight="1">
      <c r="A191" s="228">
        <v>186</v>
      </c>
      <c r="B191" s="213" t="s">
        <v>458</v>
      </c>
      <c r="C191" s="213" t="s">
        <v>459</v>
      </c>
      <c r="D191" s="213" t="s">
        <v>460</v>
      </c>
      <c r="E191" s="213" t="s">
        <v>229</v>
      </c>
      <c r="F191" s="213" t="s">
        <v>230</v>
      </c>
      <c r="G191" s="213" t="s">
        <v>386</v>
      </c>
      <c r="H191" s="78"/>
      <c r="I191" s="92"/>
      <c r="J191" s="92"/>
      <c r="K191" s="92"/>
      <c r="L191" s="92"/>
      <c r="M191" s="229"/>
      <c r="N191" s="215">
        <f t="shared" si="2"/>
        <v>0</v>
      </c>
      <c r="O191" s="229"/>
      <c r="P191" s="211"/>
    </row>
    <row r="192" spans="1:16" s="7" customFormat="1" ht="18.75" customHeight="1">
      <c r="A192" s="228">
        <v>187</v>
      </c>
      <c r="B192" s="213" t="s">
        <v>855</v>
      </c>
      <c r="C192" s="213" t="s">
        <v>459</v>
      </c>
      <c r="D192" s="213" t="s">
        <v>460</v>
      </c>
      <c r="E192" s="213" t="s">
        <v>229</v>
      </c>
      <c r="F192" s="213" t="s">
        <v>230</v>
      </c>
      <c r="G192" s="213" t="s">
        <v>386</v>
      </c>
      <c r="H192" s="78"/>
      <c r="I192" s="92"/>
      <c r="J192" s="92"/>
      <c r="K192" s="92"/>
      <c r="L192" s="92"/>
      <c r="M192" s="229"/>
      <c r="N192" s="215">
        <f t="shared" si="2"/>
        <v>0</v>
      </c>
      <c r="O192" s="229"/>
      <c r="P192" s="211"/>
    </row>
    <row r="193" spans="1:16" s="7" customFormat="1" ht="18.75" customHeight="1">
      <c r="A193" s="228">
        <v>188</v>
      </c>
      <c r="B193" s="213" t="s">
        <v>1033</v>
      </c>
      <c r="C193" s="213" t="s">
        <v>1034</v>
      </c>
      <c r="D193" s="213" t="s">
        <v>1035</v>
      </c>
      <c r="E193" s="213" t="s">
        <v>165</v>
      </c>
      <c r="F193" s="213" t="s">
        <v>166</v>
      </c>
      <c r="G193" s="213" t="s">
        <v>387</v>
      </c>
      <c r="H193" s="78"/>
      <c r="I193" s="92"/>
      <c r="J193" s="92"/>
      <c r="K193" s="92"/>
      <c r="L193" s="92"/>
      <c r="M193" s="229"/>
      <c r="N193" s="215">
        <f t="shared" si="2"/>
        <v>0</v>
      </c>
      <c r="O193" s="229"/>
      <c r="P193" s="211"/>
    </row>
    <row r="194" spans="1:16" s="7" customFormat="1" ht="18.75" customHeight="1">
      <c r="A194" s="228">
        <v>189</v>
      </c>
      <c r="B194" s="213" t="s">
        <v>787</v>
      </c>
      <c r="C194" s="213" t="s">
        <v>788</v>
      </c>
      <c r="D194" s="213" t="s">
        <v>395</v>
      </c>
      <c r="E194" s="213" t="s">
        <v>165</v>
      </c>
      <c r="F194" s="213" t="s">
        <v>166</v>
      </c>
      <c r="G194" s="213" t="s">
        <v>387</v>
      </c>
      <c r="H194" s="78"/>
      <c r="I194" s="92"/>
      <c r="J194" s="92"/>
      <c r="K194" s="92"/>
      <c r="L194" s="92"/>
      <c r="M194" s="229"/>
      <c r="N194" s="215">
        <f t="shared" si="2"/>
        <v>0</v>
      </c>
      <c r="O194" s="229"/>
      <c r="P194" s="211"/>
    </row>
    <row r="195" spans="1:16" s="7" customFormat="1" ht="18.75" customHeight="1">
      <c r="A195" s="228">
        <v>190</v>
      </c>
      <c r="B195" s="213" t="s">
        <v>1026</v>
      </c>
      <c r="C195" s="213" t="s">
        <v>1027</v>
      </c>
      <c r="D195" s="213" t="s">
        <v>395</v>
      </c>
      <c r="E195" s="213" t="s">
        <v>165</v>
      </c>
      <c r="F195" s="213" t="s">
        <v>166</v>
      </c>
      <c r="G195" s="213" t="s">
        <v>387</v>
      </c>
      <c r="H195" s="78"/>
      <c r="I195" s="92"/>
      <c r="J195" s="92"/>
      <c r="K195" s="92"/>
      <c r="L195" s="92"/>
      <c r="M195" s="229"/>
      <c r="N195" s="215">
        <f t="shared" si="2"/>
        <v>0</v>
      </c>
      <c r="O195" s="229"/>
      <c r="P195" s="211"/>
    </row>
    <row r="196" spans="1:16" s="7" customFormat="1" ht="18.75" customHeight="1">
      <c r="A196" s="228">
        <v>191</v>
      </c>
      <c r="B196" s="213" t="s">
        <v>1181</v>
      </c>
      <c r="C196" s="213" t="s">
        <v>1027</v>
      </c>
      <c r="D196" s="213" t="s">
        <v>395</v>
      </c>
      <c r="E196" s="213" t="s">
        <v>165</v>
      </c>
      <c r="F196" s="213" t="s">
        <v>166</v>
      </c>
      <c r="G196" s="213" t="s">
        <v>387</v>
      </c>
      <c r="H196" s="78"/>
      <c r="I196" s="92"/>
      <c r="J196" s="92"/>
      <c r="K196" s="92"/>
      <c r="L196" s="92"/>
      <c r="M196" s="229"/>
      <c r="N196" s="215">
        <f t="shared" si="2"/>
        <v>0</v>
      </c>
      <c r="O196" s="229"/>
      <c r="P196" s="211"/>
    </row>
    <row r="197" spans="1:16" s="7" customFormat="1" ht="18.75" customHeight="1">
      <c r="A197" s="228">
        <v>192</v>
      </c>
      <c r="B197" s="213" t="s">
        <v>924</v>
      </c>
      <c r="C197" s="213" t="s">
        <v>925</v>
      </c>
      <c r="D197" s="213" t="s">
        <v>395</v>
      </c>
      <c r="E197" s="213" t="s">
        <v>165</v>
      </c>
      <c r="F197" s="213" t="s">
        <v>166</v>
      </c>
      <c r="G197" s="213" t="s">
        <v>387</v>
      </c>
      <c r="H197" s="78"/>
      <c r="I197" s="92"/>
      <c r="J197" s="92"/>
      <c r="K197" s="92"/>
      <c r="L197" s="92"/>
      <c r="M197" s="229"/>
      <c r="N197" s="215">
        <f t="shared" si="2"/>
        <v>0</v>
      </c>
      <c r="O197" s="229"/>
      <c r="P197" s="211"/>
    </row>
    <row r="198" spans="1:16" s="7" customFormat="1" ht="18.75" customHeight="1">
      <c r="A198" s="228">
        <v>193</v>
      </c>
      <c r="B198" s="213" t="s">
        <v>793</v>
      </c>
      <c r="C198" s="213" t="s">
        <v>927</v>
      </c>
      <c r="D198" s="213" t="s">
        <v>395</v>
      </c>
      <c r="E198" s="213" t="s">
        <v>165</v>
      </c>
      <c r="F198" s="213" t="s">
        <v>166</v>
      </c>
      <c r="G198" s="213" t="s">
        <v>387</v>
      </c>
      <c r="H198" s="78"/>
      <c r="I198" s="92"/>
      <c r="J198" s="92"/>
      <c r="K198" s="92"/>
      <c r="L198" s="92"/>
      <c r="M198" s="229"/>
      <c r="N198" s="215">
        <f t="shared" si="2"/>
        <v>0</v>
      </c>
      <c r="O198" s="229"/>
      <c r="P198" s="211"/>
    </row>
    <row r="199" spans="1:16" s="7" customFormat="1" ht="18.75" customHeight="1">
      <c r="A199" s="228">
        <v>194</v>
      </c>
      <c r="B199" s="213" t="s">
        <v>1036</v>
      </c>
      <c r="C199" s="213" t="s">
        <v>1037</v>
      </c>
      <c r="D199" s="213" t="s">
        <v>1038</v>
      </c>
      <c r="E199" s="213" t="s">
        <v>165</v>
      </c>
      <c r="F199" s="213" t="s">
        <v>166</v>
      </c>
      <c r="G199" s="213" t="s">
        <v>387</v>
      </c>
      <c r="H199" s="78"/>
      <c r="I199" s="92"/>
      <c r="J199" s="92"/>
      <c r="K199" s="92"/>
      <c r="L199" s="92"/>
      <c r="M199" s="229"/>
      <c r="N199" s="215">
        <f t="shared" ref="N199:N262" si="3">SUM(I199:M199)</f>
        <v>0</v>
      </c>
      <c r="O199" s="229"/>
      <c r="P199" s="211"/>
    </row>
    <row r="200" spans="1:16" s="7" customFormat="1" ht="18.75" customHeight="1">
      <c r="A200" s="228">
        <v>195</v>
      </c>
      <c r="B200" s="213" t="s">
        <v>1030</v>
      </c>
      <c r="C200" s="213" t="s">
        <v>1031</v>
      </c>
      <c r="D200" s="213" t="s">
        <v>1032</v>
      </c>
      <c r="E200" s="213" t="s">
        <v>165</v>
      </c>
      <c r="F200" s="213" t="s">
        <v>166</v>
      </c>
      <c r="G200" s="213" t="s">
        <v>387</v>
      </c>
      <c r="H200" s="78"/>
      <c r="I200" s="92"/>
      <c r="J200" s="92"/>
      <c r="K200" s="92"/>
      <c r="L200" s="92"/>
      <c r="M200" s="229"/>
      <c r="N200" s="215">
        <f t="shared" si="3"/>
        <v>0</v>
      </c>
      <c r="O200" s="229"/>
      <c r="P200" s="211"/>
    </row>
    <row r="201" spans="1:16" s="7" customFormat="1" ht="18.75" customHeight="1">
      <c r="A201" s="228">
        <v>196</v>
      </c>
      <c r="B201" s="213" t="s">
        <v>1028</v>
      </c>
      <c r="C201" s="213" t="s">
        <v>1029</v>
      </c>
      <c r="D201" s="213" t="s">
        <v>1025</v>
      </c>
      <c r="E201" s="213" t="s">
        <v>165</v>
      </c>
      <c r="F201" s="213" t="s">
        <v>166</v>
      </c>
      <c r="G201" s="213" t="s">
        <v>387</v>
      </c>
      <c r="H201" s="78"/>
      <c r="I201" s="92"/>
      <c r="J201" s="92"/>
      <c r="K201" s="92"/>
      <c r="L201" s="92"/>
      <c r="M201" s="229"/>
      <c r="N201" s="215">
        <f t="shared" si="3"/>
        <v>0</v>
      </c>
      <c r="O201" s="229"/>
      <c r="P201" s="211"/>
    </row>
    <row r="202" spans="1:16" s="7" customFormat="1" ht="18.75" customHeight="1">
      <c r="A202" s="228">
        <v>197</v>
      </c>
      <c r="B202" s="213" t="s">
        <v>1023</v>
      </c>
      <c r="C202" s="213" t="s">
        <v>1024</v>
      </c>
      <c r="D202" s="213" t="s">
        <v>1025</v>
      </c>
      <c r="E202" s="213" t="s">
        <v>165</v>
      </c>
      <c r="F202" s="213" t="s">
        <v>166</v>
      </c>
      <c r="G202" s="213" t="s">
        <v>387</v>
      </c>
      <c r="H202" s="78"/>
      <c r="I202" s="92"/>
      <c r="J202" s="92"/>
      <c r="K202" s="92"/>
      <c r="L202" s="92"/>
      <c r="M202" s="229"/>
      <c r="N202" s="215">
        <f t="shared" si="3"/>
        <v>0</v>
      </c>
      <c r="O202" s="229"/>
      <c r="P202" s="211"/>
    </row>
    <row r="203" spans="1:16" s="7" customFormat="1" ht="18.75" customHeight="1">
      <c r="A203" s="228">
        <v>198</v>
      </c>
      <c r="B203" s="213" t="s">
        <v>1148</v>
      </c>
      <c r="C203" s="213" t="s">
        <v>1149</v>
      </c>
      <c r="D203" s="213" t="s">
        <v>1041</v>
      </c>
      <c r="E203" s="213" t="s">
        <v>198</v>
      </c>
      <c r="F203" s="213" t="s">
        <v>199</v>
      </c>
      <c r="G203" s="213" t="s">
        <v>387</v>
      </c>
      <c r="H203" s="78"/>
      <c r="I203" s="92"/>
      <c r="J203" s="92"/>
      <c r="K203" s="92"/>
      <c r="L203" s="92"/>
      <c r="M203" s="229"/>
      <c r="N203" s="215">
        <f t="shared" si="3"/>
        <v>0</v>
      </c>
      <c r="O203" s="229"/>
      <c r="P203" s="211"/>
    </row>
    <row r="204" spans="1:16" s="7" customFormat="1" ht="18.75" customHeight="1">
      <c r="A204" s="228">
        <v>199</v>
      </c>
      <c r="B204" s="213" t="s">
        <v>1039</v>
      </c>
      <c r="C204" s="213" t="s">
        <v>1040</v>
      </c>
      <c r="D204" s="213" t="s">
        <v>1041</v>
      </c>
      <c r="E204" s="213" t="s">
        <v>198</v>
      </c>
      <c r="F204" s="213" t="s">
        <v>199</v>
      </c>
      <c r="G204" s="213" t="s">
        <v>387</v>
      </c>
      <c r="H204" s="78"/>
      <c r="I204" s="92"/>
      <c r="J204" s="92"/>
      <c r="K204" s="92"/>
      <c r="L204" s="92"/>
      <c r="M204" s="229"/>
      <c r="N204" s="215">
        <f t="shared" si="3"/>
        <v>0</v>
      </c>
      <c r="O204" s="229"/>
      <c r="P204" s="211"/>
    </row>
    <row r="205" spans="1:16" s="7" customFormat="1" ht="18.75" customHeight="1">
      <c r="A205" s="228">
        <v>200</v>
      </c>
      <c r="B205" s="213" t="s">
        <v>1067</v>
      </c>
      <c r="C205" s="213" t="s">
        <v>1068</v>
      </c>
      <c r="D205" s="213" t="s">
        <v>1069</v>
      </c>
      <c r="E205" s="213" t="s">
        <v>198</v>
      </c>
      <c r="F205" s="213" t="s">
        <v>199</v>
      </c>
      <c r="G205" s="213" t="s">
        <v>387</v>
      </c>
      <c r="H205" s="78"/>
      <c r="I205" s="92"/>
      <c r="J205" s="92"/>
      <c r="K205" s="92"/>
      <c r="L205" s="92"/>
      <c r="M205" s="229"/>
      <c r="N205" s="215">
        <f t="shared" si="3"/>
        <v>0</v>
      </c>
      <c r="O205" s="229"/>
      <c r="P205" s="211"/>
    </row>
    <row r="206" spans="1:16" s="7" customFormat="1" ht="18.75" customHeight="1">
      <c r="A206" s="228">
        <v>201</v>
      </c>
      <c r="B206" s="213" t="s">
        <v>1150</v>
      </c>
      <c r="C206" s="213" t="s">
        <v>1151</v>
      </c>
      <c r="D206" s="213" t="s">
        <v>1152</v>
      </c>
      <c r="E206" s="213" t="s">
        <v>231</v>
      </c>
      <c r="F206" s="213" t="s">
        <v>232</v>
      </c>
      <c r="G206" s="213" t="s">
        <v>387</v>
      </c>
      <c r="H206" s="78"/>
      <c r="I206" s="92"/>
      <c r="J206" s="92"/>
      <c r="K206" s="92"/>
      <c r="L206" s="92"/>
      <c r="M206" s="229"/>
      <c r="N206" s="215">
        <f t="shared" si="3"/>
        <v>0</v>
      </c>
      <c r="O206" s="229"/>
      <c r="P206" s="211"/>
    </row>
    <row r="207" spans="1:16" s="7" customFormat="1" ht="18.75" customHeight="1">
      <c r="A207" s="228">
        <v>202</v>
      </c>
      <c r="B207" s="213" t="s">
        <v>796</v>
      </c>
      <c r="C207" s="213" t="s">
        <v>797</v>
      </c>
      <c r="D207" s="213" t="s">
        <v>395</v>
      </c>
      <c r="E207" s="213" t="s">
        <v>231</v>
      </c>
      <c r="F207" s="213" t="s">
        <v>1196</v>
      </c>
      <c r="G207" s="213" t="s">
        <v>387</v>
      </c>
      <c r="H207" s="78"/>
      <c r="I207" s="92"/>
      <c r="J207" s="92"/>
      <c r="K207" s="92"/>
      <c r="L207" s="92"/>
      <c r="M207" s="229"/>
      <c r="N207" s="215">
        <f t="shared" si="3"/>
        <v>0</v>
      </c>
      <c r="O207" s="229"/>
      <c r="P207" s="211"/>
    </row>
    <row r="208" spans="1:16" s="7" customFormat="1" ht="18.75" customHeight="1">
      <c r="A208" s="228">
        <v>203</v>
      </c>
      <c r="B208" s="213" t="s">
        <v>1153</v>
      </c>
      <c r="C208" s="213" t="s">
        <v>1154</v>
      </c>
      <c r="D208" s="213" t="s">
        <v>1155</v>
      </c>
      <c r="E208" s="213" t="s">
        <v>231</v>
      </c>
      <c r="F208" s="213" t="s">
        <v>232</v>
      </c>
      <c r="G208" s="213" t="s">
        <v>387</v>
      </c>
      <c r="H208" s="78"/>
      <c r="I208" s="92"/>
      <c r="J208" s="92"/>
      <c r="K208" s="92"/>
      <c r="L208" s="92"/>
      <c r="M208" s="229"/>
      <c r="N208" s="215">
        <f t="shared" si="3"/>
        <v>0</v>
      </c>
      <c r="O208" s="229"/>
      <c r="P208" s="211"/>
    </row>
    <row r="209" spans="1:16" s="7" customFormat="1" ht="18.75" customHeight="1">
      <c r="A209" s="228">
        <v>204</v>
      </c>
      <c r="B209" s="213" t="s">
        <v>1086</v>
      </c>
      <c r="C209" s="213" t="s">
        <v>1087</v>
      </c>
      <c r="D209" s="213" t="s">
        <v>1088</v>
      </c>
      <c r="E209" s="213" t="s">
        <v>42</v>
      </c>
      <c r="F209" s="213" t="s">
        <v>43</v>
      </c>
      <c r="G209" s="213" t="s">
        <v>377</v>
      </c>
      <c r="H209" s="78"/>
      <c r="I209" s="92"/>
      <c r="J209" s="92"/>
      <c r="K209" s="92"/>
      <c r="L209" s="92"/>
      <c r="M209" s="229"/>
      <c r="N209" s="215">
        <f t="shared" si="3"/>
        <v>0</v>
      </c>
      <c r="O209" s="229"/>
      <c r="P209" s="211"/>
    </row>
    <row r="210" spans="1:16" s="7" customFormat="1" ht="18.75" customHeight="1">
      <c r="A210" s="228">
        <v>205</v>
      </c>
      <c r="B210" s="213" t="s">
        <v>932</v>
      </c>
      <c r="C210" s="213" t="s">
        <v>933</v>
      </c>
      <c r="D210" s="213" t="s">
        <v>934</v>
      </c>
      <c r="E210" s="213" t="s">
        <v>73</v>
      </c>
      <c r="F210" s="213" t="s">
        <v>74</v>
      </c>
      <c r="G210" s="213" t="s">
        <v>377</v>
      </c>
      <c r="H210" s="78"/>
      <c r="I210" s="92"/>
      <c r="J210" s="92"/>
      <c r="K210" s="92"/>
      <c r="L210" s="92"/>
      <c r="M210" s="229"/>
      <c r="N210" s="215">
        <f t="shared" si="3"/>
        <v>0</v>
      </c>
      <c r="O210" s="229"/>
      <c r="P210" s="211"/>
    </row>
    <row r="211" spans="1:16" s="7" customFormat="1" ht="18.75" customHeight="1">
      <c r="A211" s="228">
        <v>206</v>
      </c>
      <c r="B211" s="213" t="s">
        <v>465</v>
      </c>
      <c r="C211" s="213" t="s">
        <v>466</v>
      </c>
      <c r="D211" s="213" t="s">
        <v>467</v>
      </c>
      <c r="E211" s="213" t="s">
        <v>73</v>
      </c>
      <c r="F211" s="213" t="s">
        <v>74</v>
      </c>
      <c r="G211" s="213" t="s">
        <v>377</v>
      </c>
      <c r="H211" s="78"/>
      <c r="I211" s="92"/>
      <c r="J211" s="92"/>
      <c r="K211" s="92"/>
      <c r="L211" s="92"/>
      <c r="M211" s="229"/>
      <c r="N211" s="215">
        <f t="shared" si="3"/>
        <v>0</v>
      </c>
      <c r="O211" s="229"/>
      <c r="P211" s="211"/>
    </row>
    <row r="212" spans="1:16" s="7" customFormat="1" ht="18.75" customHeight="1">
      <c r="A212" s="228">
        <v>207</v>
      </c>
      <c r="B212" s="213" t="s">
        <v>415</v>
      </c>
      <c r="C212" s="213" t="s">
        <v>416</v>
      </c>
      <c r="D212" s="213" t="s">
        <v>417</v>
      </c>
      <c r="E212" s="213" t="s">
        <v>73</v>
      </c>
      <c r="F212" s="213" t="s">
        <v>74</v>
      </c>
      <c r="G212" s="213" t="s">
        <v>377</v>
      </c>
      <c r="H212" s="78"/>
      <c r="I212" s="92"/>
      <c r="J212" s="92"/>
      <c r="K212" s="92"/>
      <c r="L212" s="92"/>
      <c r="M212" s="229"/>
      <c r="N212" s="215">
        <f t="shared" si="3"/>
        <v>0</v>
      </c>
      <c r="O212" s="229"/>
      <c r="P212" s="211"/>
    </row>
    <row r="213" spans="1:16" s="7" customFormat="1" ht="18.75" customHeight="1">
      <c r="A213" s="228">
        <v>208</v>
      </c>
      <c r="B213" s="213" t="s">
        <v>418</v>
      </c>
      <c r="C213" s="213" t="s">
        <v>419</v>
      </c>
      <c r="D213" s="213" t="s">
        <v>420</v>
      </c>
      <c r="E213" s="213" t="s">
        <v>73</v>
      </c>
      <c r="F213" s="213" t="s">
        <v>74</v>
      </c>
      <c r="G213" s="213" t="s">
        <v>377</v>
      </c>
      <c r="H213" s="78"/>
      <c r="I213" s="92"/>
      <c r="J213" s="92"/>
      <c r="K213" s="92"/>
      <c r="L213" s="92"/>
      <c r="M213" s="229"/>
      <c r="N213" s="215">
        <f t="shared" si="3"/>
        <v>0</v>
      </c>
      <c r="O213" s="229"/>
      <c r="P213" s="211"/>
    </row>
    <row r="214" spans="1:16" s="7" customFormat="1" ht="18.75" customHeight="1">
      <c r="A214" s="228">
        <v>209</v>
      </c>
      <c r="B214" s="213" t="s">
        <v>779</v>
      </c>
      <c r="C214" s="213" t="s">
        <v>780</v>
      </c>
      <c r="D214" s="213" t="s">
        <v>781</v>
      </c>
      <c r="E214" s="213" t="s">
        <v>73</v>
      </c>
      <c r="F214" s="213" t="s">
        <v>74</v>
      </c>
      <c r="G214" s="213" t="s">
        <v>377</v>
      </c>
      <c r="H214" s="78"/>
      <c r="I214" s="92"/>
      <c r="J214" s="92"/>
      <c r="K214" s="92"/>
      <c r="L214" s="92"/>
      <c r="M214" s="229"/>
      <c r="N214" s="215">
        <f t="shared" si="3"/>
        <v>0</v>
      </c>
      <c r="O214" s="229"/>
      <c r="P214" s="211"/>
    </row>
    <row r="215" spans="1:16" s="7" customFormat="1" ht="18.75" customHeight="1">
      <c r="A215" s="228">
        <v>210</v>
      </c>
      <c r="B215" s="213" t="s">
        <v>944</v>
      </c>
      <c r="C215" s="213" t="s">
        <v>945</v>
      </c>
      <c r="D215" s="213" t="s">
        <v>946</v>
      </c>
      <c r="E215" s="213" t="s">
        <v>73</v>
      </c>
      <c r="F215" s="213" t="s">
        <v>74</v>
      </c>
      <c r="G215" s="213" t="s">
        <v>377</v>
      </c>
      <c r="H215" s="78"/>
      <c r="I215" s="92"/>
      <c r="J215" s="92"/>
      <c r="K215" s="92"/>
      <c r="L215" s="92"/>
      <c r="M215" s="229"/>
      <c r="N215" s="215">
        <f t="shared" si="3"/>
        <v>0</v>
      </c>
      <c r="O215" s="229"/>
      <c r="P215" s="211"/>
    </row>
    <row r="216" spans="1:16" s="7" customFormat="1" ht="18.75" customHeight="1">
      <c r="A216" s="228">
        <v>211</v>
      </c>
      <c r="B216" s="213" t="s">
        <v>1115</v>
      </c>
      <c r="C216" s="213" t="s">
        <v>1116</v>
      </c>
      <c r="D216" s="213" t="s">
        <v>395</v>
      </c>
      <c r="E216" s="213" t="s">
        <v>83</v>
      </c>
      <c r="F216" s="213" t="s">
        <v>84</v>
      </c>
      <c r="G216" s="213" t="s">
        <v>377</v>
      </c>
      <c r="H216" s="78"/>
      <c r="I216" s="92"/>
      <c r="J216" s="92"/>
      <c r="K216" s="92"/>
      <c r="L216" s="92"/>
      <c r="M216" s="229"/>
      <c r="N216" s="215">
        <f t="shared" si="3"/>
        <v>0</v>
      </c>
      <c r="O216" s="229"/>
      <c r="P216" s="211"/>
    </row>
    <row r="217" spans="1:16" s="7" customFormat="1" ht="18.75" customHeight="1">
      <c r="A217" s="228">
        <v>212</v>
      </c>
      <c r="B217" s="213" t="s">
        <v>777</v>
      </c>
      <c r="C217" s="213" t="s">
        <v>778</v>
      </c>
      <c r="D217" s="213" t="s">
        <v>778</v>
      </c>
      <c r="E217" s="213" t="s">
        <v>207</v>
      </c>
      <c r="F217" s="213" t="s">
        <v>75</v>
      </c>
      <c r="G217" s="213" t="s">
        <v>377</v>
      </c>
      <c r="H217" s="78"/>
      <c r="I217" s="92"/>
      <c r="J217" s="92"/>
      <c r="K217" s="92"/>
      <c r="L217" s="92"/>
      <c r="M217" s="229"/>
      <c r="N217" s="215">
        <f t="shared" si="3"/>
        <v>0</v>
      </c>
      <c r="O217" s="229"/>
      <c r="P217" s="211"/>
    </row>
    <row r="218" spans="1:16" s="7" customFormat="1" ht="18.75" customHeight="1">
      <c r="A218" s="228">
        <v>213</v>
      </c>
      <c r="B218" s="213" t="s">
        <v>1078</v>
      </c>
      <c r="C218" s="213" t="s">
        <v>1079</v>
      </c>
      <c r="D218" s="213" t="s">
        <v>395</v>
      </c>
      <c r="E218" s="213" t="s">
        <v>207</v>
      </c>
      <c r="F218" s="213" t="s">
        <v>75</v>
      </c>
      <c r="G218" s="213" t="s">
        <v>377</v>
      </c>
      <c r="H218" s="78"/>
      <c r="I218" s="92"/>
      <c r="J218" s="92"/>
      <c r="K218" s="92"/>
      <c r="L218" s="92"/>
      <c r="M218" s="229"/>
      <c r="N218" s="215">
        <f t="shared" si="3"/>
        <v>0</v>
      </c>
      <c r="O218" s="229"/>
      <c r="P218" s="211"/>
    </row>
    <row r="219" spans="1:16" s="7" customFormat="1" ht="18.75" customHeight="1">
      <c r="A219" s="228">
        <v>214</v>
      </c>
      <c r="B219" s="213" t="s">
        <v>1080</v>
      </c>
      <c r="C219" s="213" t="s">
        <v>1081</v>
      </c>
      <c r="D219" s="213" t="s">
        <v>395</v>
      </c>
      <c r="E219" s="213" t="s">
        <v>207</v>
      </c>
      <c r="F219" s="213" t="s">
        <v>75</v>
      </c>
      <c r="G219" s="213" t="s">
        <v>377</v>
      </c>
      <c r="H219" s="78"/>
      <c r="I219" s="92"/>
      <c r="J219" s="92"/>
      <c r="K219" s="92"/>
      <c r="L219" s="92"/>
      <c r="M219" s="229"/>
      <c r="N219" s="215">
        <f t="shared" si="3"/>
        <v>0</v>
      </c>
      <c r="O219" s="229"/>
      <c r="P219" s="211"/>
    </row>
    <row r="220" spans="1:16" s="7" customFormat="1" ht="18.75" customHeight="1">
      <c r="A220" s="228">
        <v>215</v>
      </c>
      <c r="B220" s="213" t="s">
        <v>477</v>
      </c>
      <c r="C220" s="213" t="s">
        <v>478</v>
      </c>
      <c r="D220" s="213" t="s">
        <v>479</v>
      </c>
      <c r="E220" s="213" t="s">
        <v>207</v>
      </c>
      <c r="F220" s="213" t="s">
        <v>75</v>
      </c>
      <c r="G220" s="213" t="s">
        <v>377</v>
      </c>
      <c r="H220" s="78"/>
      <c r="I220" s="92"/>
      <c r="J220" s="92"/>
      <c r="K220" s="92"/>
      <c r="L220" s="92"/>
      <c r="M220" s="229"/>
      <c r="N220" s="215">
        <f t="shared" si="3"/>
        <v>0</v>
      </c>
      <c r="O220" s="229"/>
      <c r="P220" s="211"/>
    </row>
    <row r="221" spans="1:16" s="7" customFormat="1" ht="18.75" customHeight="1">
      <c r="A221" s="228">
        <v>216</v>
      </c>
      <c r="B221" s="213" t="s">
        <v>1054</v>
      </c>
      <c r="C221" s="213" t="s">
        <v>802</v>
      </c>
      <c r="D221" s="213" t="s">
        <v>803</v>
      </c>
      <c r="E221" s="213" t="s">
        <v>162</v>
      </c>
      <c r="F221" s="213" t="s">
        <v>163</v>
      </c>
      <c r="G221" s="213" t="s">
        <v>390</v>
      </c>
      <c r="H221" s="78"/>
      <c r="I221" s="92"/>
      <c r="J221" s="92"/>
      <c r="K221" s="92"/>
      <c r="L221" s="92"/>
      <c r="M221" s="229"/>
      <c r="N221" s="215">
        <f t="shared" si="3"/>
        <v>0</v>
      </c>
      <c r="O221" s="229"/>
      <c r="P221" s="211"/>
    </row>
    <row r="222" spans="1:16" s="7" customFormat="1" ht="18.75" customHeight="1">
      <c r="A222" s="228">
        <v>217</v>
      </c>
      <c r="B222" s="213" t="s">
        <v>1058</v>
      </c>
      <c r="C222" s="213" t="s">
        <v>1059</v>
      </c>
      <c r="D222" s="213" t="s">
        <v>1057</v>
      </c>
      <c r="E222" s="213" t="s">
        <v>162</v>
      </c>
      <c r="F222" s="213" t="s">
        <v>163</v>
      </c>
      <c r="G222" s="213" t="s">
        <v>390</v>
      </c>
      <c r="H222" s="78"/>
      <c r="I222" s="92"/>
      <c r="J222" s="92"/>
      <c r="K222" s="92"/>
      <c r="L222" s="92"/>
      <c r="M222" s="229"/>
      <c r="N222" s="215">
        <f t="shared" si="3"/>
        <v>0</v>
      </c>
      <c r="O222" s="229"/>
      <c r="P222" s="211"/>
    </row>
    <row r="223" spans="1:16" s="7" customFormat="1" ht="18.75" customHeight="1">
      <c r="A223" s="228">
        <v>218</v>
      </c>
      <c r="B223" s="213" t="s">
        <v>929</v>
      </c>
      <c r="C223" s="213" t="s">
        <v>930</v>
      </c>
      <c r="D223" s="213" t="s">
        <v>931</v>
      </c>
      <c r="E223" s="213" t="s">
        <v>162</v>
      </c>
      <c r="F223" s="213" t="s">
        <v>164</v>
      </c>
      <c r="G223" s="213" t="s">
        <v>390</v>
      </c>
      <c r="H223" s="78"/>
      <c r="I223" s="92"/>
      <c r="J223" s="92"/>
      <c r="K223" s="92"/>
      <c r="L223" s="92"/>
      <c r="M223" s="229"/>
      <c r="N223" s="215">
        <f t="shared" si="3"/>
        <v>0</v>
      </c>
      <c r="O223" s="229"/>
      <c r="P223" s="211"/>
    </row>
    <row r="224" spans="1:16" s="7" customFormat="1" ht="18.75" customHeight="1">
      <c r="A224" s="228">
        <v>219</v>
      </c>
      <c r="B224" s="213" t="s">
        <v>1052</v>
      </c>
      <c r="C224" s="213" t="s">
        <v>1053</v>
      </c>
      <c r="D224" s="213" t="s">
        <v>931</v>
      </c>
      <c r="E224" s="213" t="s">
        <v>162</v>
      </c>
      <c r="F224" s="213" t="s">
        <v>163</v>
      </c>
      <c r="G224" s="213" t="s">
        <v>390</v>
      </c>
      <c r="H224" s="78"/>
      <c r="I224" s="92"/>
      <c r="J224" s="92"/>
      <c r="K224" s="92"/>
      <c r="L224" s="92"/>
      <c r="M224" s="229"/>
      <c r="N224" s="215">
        <f t="shared" si="3"/>
        <v>0</v>
      </c>
      <c r="O224" s="229"/>
      <c r="P224" s="211"/>
    </row>
    <row r="225" spans="1:16" s="7" customFormat="1" ht="18.75" customHeight="1">
      <c r="A225" s="228">
        <v>220</v>
      </c>
      <c r="B225" s="213" t="s">
        <v>840</v>
      </c>
      <c r="C225" s="213" t="s">
        <v>841</v>
      </c>
      <c r="D225" s="213" t="s">
        <v>841</v>
      </c>
      <c r="E225" s="213" t="s">
        <v>162</v>
      </c>
      <c r="F225" s="213" t="s">
        <v>164</v>
      </c>
      <c r="G225" s="213" t="s">
        <v>390</v>
      </c>
      <c r="H225" s="78"/>
      <c r="I225" s="92"/>
      <c r="J225" s="92"/>
      <c r="K225" s="92"/>
      <c r="L225" s="92"/>
      <c r="M225" s="229"/>
      <c r="N225" s="215">
        <f t="shared" si="3"/>
        <v>0</v>
      </c>
      <c r="O225" s="229"/>
      <c r="P225" s="211"/>
    </row>
    <row r="226" spans="1:16" s="7" customFormat="1" ht="18.75" customHeight="1">
      <c r="A226" s="228">
        <v>221</v>
      </c>
      <c r="B226" s="213" t="s">
        <v>492</v>
      </c>
      <c r="C226" s="213" t="s">
        <v>493</v>
      </c>
      <c r="D226" s="213" t="s">
        <v>494</v>
      </c>
      <c r="E226" s="213" t="s">
        <v>30</v>
      </c>
      <c r="F226" s="213" t="s">
        <v>31</v>
      </c>
      <c r="G226" s="213" t="s">
        <v>1186</v>
      </c>
      <c r="H226" s="78"/>
      <c r="I226" s="92"/>
      <c r="J226" s="92"/>
      <c r="K226" s="92"/>
      <c r="L226" s="92"/>
      <c r="M226" s="229"/>
      <c r="N226" s="215">
        <f t="shared" si="3"/>
        <v>0</v>
      </c>
      <c r="O226" s="229"/>
      <c r="P226" s="211"/>
    </row>
    <row r="227" spans="1:16" s="7" customFormat="1" ht="18.75" customHeight="1">
      <c r="A227" s="228">
        <v>222</v>
      </c>
      <c r="B227" s="213" t="s">
        <v>1167</v>
      </c>
      <c r="C227" s="213" t="s">
        <v>1168</v>
      </c>
      <c r="D227" s="213" t="s">
        <v>395</v>
      </c>
      <c r="E227" s="213" t="s">
        <v>30</v>
      </c>
      <c r="F227" s="213" t="s">
        <v>31</v>
      </c>
      <c r="G227" s="213" t="s">
        <v>1186</v>
      </c>
      <c r="H227" s="78"/>
      <c r="I227" s="92"/>
      <c r="J227" s="92"/>
      <c r="K227" s="92"/>
      <c r="L227" s="92"/>
      <c r="M227" s="229"/>
      <c r="N227" s="215">
        <f t="shared" si="3"/>
        <v>0</v>
      </c>
      <c r="O227" s="229"/>
      <c r="P227" s="211"/>
    </row>
    <row r="228" spans="1:16" s="7" customFormat="1" ht="18.75" customHeight="1">
      <c r="A228" s="228">
        <v>223</v>
      </c>
      <c r="B228" s="213" t="s">
        <v>1169</v>
      </c>
      <c r="C228" s="213" t="s">
        <v>1170</v>
      </c>
      <c r="D228" s="213" t="s">
        <v>1171</v>
      </c>
      <c r="E228" s="213" t="s">
        <v>79</v>
      </c>
      <c r="F228" s="213" t="s">
        <v>80</v>
      </c>
      <c r="G228" s="213" t="s">
        <v>1186</v>
      </c>
      <c r="H228" s="78"/>
      <c r="I228" s="92"/>
      <c r="J228" s="92"/>
      <c r="K228" s="92"/>
      <c r="L228" s="92"/>
      <c r="M228" s="229"/>
      <c r="N228" s="215">
        <f t="shared" si="3"/>
        <v>0</v>
      </c>
      <c r="O228" s="229"/>
      <c r="P228" s="211"/>
    </row>
    <row r="229" spans="1:16" s="7" customFormat="1" ht="18.75" customHeight="1">
      <c r="A229" s="228">
        <v>224</v>
      </c>
      <c r="B229" s="213" t="s">
        <v>490</v>
      </c>
      <c r="C229" s="213" t="s">
        <v>491</v>
      </c>
      <c r="D229" s="213" t="s">
        <v>491</v>
      </c>
      <c r="E229" s="213" t="s">
        <v>170</v>
      </c>
      <c r="F229" s="213" t="s">
        <v>171</v>
      </c>
      <c r="G229" s="213" t="s">
        <v>1186</v>
      </c>
      <c r="H229" s="78"/>
      <c r="I229" s="92"/>
      <c r="J229" s="92"/>
      <c r="K229" s="92"/>
      <c r="L229" s="92"/>
      <c r="M229" s="229"/>
      <c r="N229" s="215">
        <f t="shared" si="3"/>
        <v>0</v>
      </c>
      <c r="O229" s="229"/>
      <c r="P229" s="211"/>
    </row>
    <row r="230" spans="1:16" s="7" customFormat="1" ht="18.75" customHeight="1">
      <c r="A230" s="228">
        <v>225</v>
      </c>
      <c r="B230" s="213" t="s">
        <v>1062</v>
      </c>
      <c r="C230" s="213" t="s">
        <v>1063</v>
      </c>
      <c r="D230" s="213" t="s">
        <v>1064</v>
      </c>
      <c r="E230" s="213" t="s">
        <v>170</v>
      </c>
      <c r="F230" s="213" t="s">
        <v>171</v>
      </c>
      <c r="G230" s="213" t="s">
        <v>1186</v>
      </c>
      <c r="H230" s="78"/>
      <c r="I230" s="92"/>
      <c r="J230" s="92"/>
      <c r="K230" s="92"/>
      <c r="L230" s="92"/>
      <c r="M230" s="229"/>
      <c r="N230" s="215">
        <f t="shared" si="3"/>
        <v>0</v>
      </c>
      <c r="O230" s="229"/>
      <c r="P230" s="211"/>
    </row>
    <row r="231" spans="1:16" s="7" customFormat="1" ht="18.75" customHeight="1">
      <c r="A231" s="228">
        <v>226</v>
      </c>
      <c r="B231" s="213" t="s">
        <v>1060</v>
      </c>
      <c r="C231" s="213" t="s">
        <v>1061</v>
      </c>
      <c r="D231" s="213" t="s">
        <v>395</v>
      </c>
      <c r="E231" s="213" t="s">
        <v>187</v>
      </c>
      <c r="F231" s="213" t="s">
        <v>188</v>
      </c>
      <c r="G231" s="213" t="s">
        <v>1186</v>
      </c>
      <c r="H231" s="78"/>
      <c r="I231" s="92"/>
      <c r="J231" s="92"/>
      <c r="K231" s="92"/>
      <c r="L231" s="92"/>
      <c r="M231" s="229"/>
      <c r="N231" s="215">
        <f t="shared" si="3"/>
        <v>0</v>
      </c>
      <c r="O231" s="229"/>
      <c r="P231" s="211"/>
    </row>
    <row r="232" spans="1:16" s="7" customFormat="1" ht="18.75" customHeight="1">
      <c r="A232" s="228">
        <v>227</v>
      </c>
      <c r="B232" s="213" t="s">
        <v>828</v>
      </c>
      <c r="C232" s="213" t="s">
        <v>829</v>
      </c>
      <c r="D232" s="213" t="s">
        <v>830</v>
      </c>
      <c r="E232" s="213" t="s">
        <v>104</v>
      </c>
      <c r="F232" s="213" t="s">
        <v>107</v>
      </c>
      <c r="G232" s="213" t="s">
        <v>1187</v>
      </c>
      <c r="H232" s="78"/>
      <c r="I232" s="92"/>
      <c r="J232" s="92"/>
      <c r="K232" s="92"/>
      <c r="L232" s="92"/>
      <c r="M232" s="229"/>
      <c r="N232" s="215">
        <f t="shared" si="3"/>
        <v>0</v>
      </c>
      <c r="O232" s="229"/>
      <c r="P232" s="211"/>
    </row>
    <row r="233" spans="1:16" s="7" customFormat="1" ht="18.75" customHeight="1">
      <c r="A233" s="228">
        <v>228</v>
      </c>
      <c r="B233" s="213" t="s">
        <v>407</v>
      </c>
      <c r="C233" s="213" t="s">
        <v>408</v>
      </c>
      <c r="D233" s="213" t="s">
        <v>395</v>
      </c>
      <c r="E233" s="213" t="s">
        <v>115</v>
      </c>
      <c r="F233" s="213" t="s">
        <v>1197</v>
      </c>
      <c r="G233" s="213" t="s">
        <v>1187</v>
      </c>
      <c r="H233" s="78"/>
      <c r="I233" s="92"/>
      <c r="J233" s="92"/>
      <c r="K233" s="92"/>
      <c r="L233" s="92"/>
      <c r="M233" s="229"/>
      <c r="N233" s="215">
        <f t="shared" si="3"/>
        <v>0</v>
      </c>
      <c r="O233" s="229"/>
      <c r="P233" s="211"/>
    </row>
    <row r="234" spans="1:16" s="7" customFormat="1" ht="18.75" customHeight="1">
      <c r="A234" s="228">
        <v>229</v>
      </c>
      <c r="B234" s="213" t="s">
        <v>966</v>
      </c>
      <c r="C234" s="213" t="s">
        <v>967</v>
      </c>
      <c r="D234" s="213" t="s">
        <v>968</v>
      </c>
      <c r="E234" s="213" t="s">
        <v>45</v>
      </c>
      <c r="F234" s="213" t="s">
        <v>46</v>
      </c>
      <c r="G234" s="213" t="s">
        <v>383</v>
      </c>
      <c r="H234" s="78"/>
      <c r="I234" s="92"/>
      <c r="J234" s="92"/>
      <c r="K234" s="92"/>
      <c r="L234" s="92"/>
      <c r="M234" s="229"/>
      <c r="N234" s="215">
        <f t="shared" si="3"/>
        <v>0</v>
      </c>
      <c r="O234" s="229"/>
      <c r="P234" s="211"/>
    </row>
    <row r="235" spans="1:16" s="7" customFormat="1" ht="18.75" customHeight="1">
      <c r="A235" s="228">
        <v>230</v>
      </c>
      <c r="B235" s="213" t="s">
        <v>615</v>
      </c>
      <c r="C235" s="213" t="s">
        <v>616</v>
      </c>
      <c r="D235" s="213" t="s">
        <v>617</v>
      </c>
      <c r="E235" s="213" t="s">
        <v>96</v>
      </c>
      <c r="F235" s="213" t="s">
        <v>97</v>
      </c>
      <c r="G235" s="213" t="s">
        <v>383</v>
      </c>
      <c r="H235" s="78"/>
      <c r="I235" s="92"/>
      <c r="J235" s="92"/>
      <c r="K235" s="92"/>
      <c r="L235" s="92"/>
      <c r="M235" s="229"/>
      <c r="N235" s="215">
        <f t="shared" si="3"/>
        <v>0</v>
      </c>
      <c r="O235" s="229"/>
      <c r="P235" s="211"/>
    </row>
    <row r="236" spans="1:16" s="7" customFormat="1" ht="18.75" customHeight="1">
      <c r="A236" s="228">
        <v>231</v>
      </c>
      <c r="B236" s="213" t="s">
        <v>546</v>
      </c>
      <c r="C236" s="213" t="s">
        <v>547</v>
      </c>
      <c r="D236" s="213" t="s">
        <v>548</v>
      </c>
      <c r="E236" s="213" t="s">
        <v>96</v>
      </c>
      <c r="F236" s="213" t="s">
        <v>97</v>
      </c>
      <c r="G236" s="213" t="s">
        <v>383</v>
      </c>
      <c r="H236" s="78"/>
      <c r="I236" s="92"/>
      <c r="J236" s="92"/>
      <c r="K236" s="92"/>
      <c r="L236" s="92"/>
      <c r="M236" s="229"/>
      <c r="N236" s="215">
        <f t="shared" si="3"/>
        <v>0</v>
      </c>
      <c r="O236" s="229"/>
      <c r="P236" s="211"/>
    </row>
    <row r="237" spans="1:16" s="7" customFormat="1" ht="18.75" customHeight="1">
      <c r="A237" s="228">
        <v>232</v>
      </c>
      <c r="B237" s="213" t="s">
        <v>609</v>
      </c>
      <c r="C237" s="213" t="s">
        <v>610</v>
      </c>
      <c r="D237" s="213" t="s">
        <v>611</v>
      </c>
      <c r="E237" s="213" t="s">
        <v>96</v>
      </c>
      <c r="F237" s="213" t="s">
        <v>97</v>
      </c>
      <c r="G237" s="213" t="s">
        <v>383</v>
      </c>
      <c r="H237" s="78"/>
      <c r="I237" s="92"/>
      <c r="J237" s="92"/>
      <c r="K237" s="92"/>
      <c r="L237" s="92"/>
      <c r="M237" s="229"/>
      <c r="N237" s="215">
        <f t="shared" si="3"/>
        <v>0</v>
      </c>
      <c r="O237" s="229"/>
      <c r="P237" s="211"/>
    </row>
    <row r="238" spans="1:16" s="7" customFormat="1" ht="18.75" customHeight="1">
      <c r="A238" s="228">
        <v>233</v>
      </c>
      <c r="B238" s="213" t="s">
        <v>823</v>
      </c>
      <c r="C238" s="213" t="s">
        <v>824</v>
      </c>
      <c r="D238" s="213" t="s">
        <v>595</v>
      </c>
      <c r="E238" s="213" t="s">
        <v>96</v>
      </c>
      <c r="F238" s="213" t="s">
        <v>97</v>
      </c>
      <c r="G238" s="213" t="s">
        <v>383</v>
      </c>
      <c r="H238" s="78"/>
      <c r="I238" s="92"/>
      <c r="J238" s="92"/>
      <c r="K238" s="92"/>
      <c r="L238" s="92"/>
      <c r="M238" s="229"/>
      <c r="N238" s="215">
        <f t="shared" si="3"/>
        <v>0</v>
      </c>
      <c r="O238" s="229"/>
      <c r="P238" s="211"/>
    </row>
    <row r="239" spans="1:16" s="7" customFormat="1" ht="18.75" customHeight="1">
      <c r="A239" s="228">
        <v>234</v>
      </c>
      <c r="B239" s="213" t="s">
        <v>593</v>
      </c>
      <c r="C239" s="213" t="s">
        <v>594</v>
      </c>
      <c r="D239" s="213" t="s">
        <v>595</v>
      </c>
      <c r="E239" s="213" t="s">
        <v>96</v>
      </c>
      <c r="F239" s="213" t="s">
        <v>97</v>
      </c>
      <c r="G239" s="213" t="s">
        <v>383</v>
      </c>
      <c r="H239" s="78"/>
      <c r="I239" s="92"/>
      <c r="J239" s="92"/>
      <c r="K239" s="92"/>
      <c r="L239" s="92"/>
      <c r="M239" s="229"/>
      <c r="N239" s="215">
        <f t="shared" si="3"/>
        <v>0</v>
      </c>
      <c r="O239" s="229"/>
      <c r="P239" s="211"/>
    </row>
    <row r="240" spans="1:16" s="7" customFormat="1" ht="18.75" customHeight="1">
      <c r="A240" s="228">
        <v>235</v>
      </c>
      <c r="B240" s="213" t="s">
        <v>1198</v>
      </c>
      <c r="C240" s="213" t="s">
        <v>602</v>
      </c>
      <c r="D240" s="213" t="s">
        <v>603</v>
      </c>
      <c r="E240" s="213" t="s">
        <v>96</v>
      </c>
      <c r="F240" s="213" t="s">
        <v>97</v>
      </c>
      <c r="G240" s="213" t="s">
        <v>383</v>
      </c>
      <c r="H240" s="78"/>
      <c r="I240" s="92"/>
      <c r="J240" s="92"/>
      <c r="K240" s="92"/>
      <c r="L240" s="92"/>
      <c r="M240" s="229"/>
      <c r="N240" s="215">
        <f t="shared" si="3"/>
        <v>0</v>
      </c>
      <c r="O240" s="229"/>
      <c r="P240" s="211"/>
    </row>
    <row r="241" spans="1:16" s="7" customFormat="1" ht="18.75" customHeight="1">
      <c r="A241" s="228">
        <v>236</v>
      </c>
      <c r="B241" s="213" t="s">
        <v>621</v>
      </c>
      <c r="C241" s="213" t="s">
        <v>622</v>
      </c>
      <c r="D241" s="213" t="s">
        <v>622</v>
      </c>
      <c r="E241" s="213" t="s">
        <v>96</v>
      </c>
      <c r="F241" s="213" t="s">
        <v>97</v>
      </c>
      <c r="G241" s="213" t="s">
        <v>383</v>
      </c>
      <c r="H241" s="78"/>
      <c r="I241" s="92"/>
      <c r="J241" s="92"/>
      <c r="K241" s="92"/>
      <c r="L241" s="92"/>
      <c r="M241" s="229"/>
      <c r="N241" s="215">
        <f t="shared" si="3"/>
        <v>0</v>
      </c>
      <c r="O241" s="229"/>
      <c r="P241" s="211"/>
    </row>
    <row r="242" spans="1:16" s="7" customFormat="1" ht="18.75" customHeight="1">
      <c r="A242" s="228">
        <v>237</v>
      </c>
      <c r="B242" s="213" t="s">
        <v>567</v>
      </c>
      <c r="C242" s="213" t="s">
        <v>568</v>
      </c>
      <c r="D242" s="213" t="s">
        <v>569</v>
      </c>
      <c r="E242" s="213" t="s">
        <v>96</v>
      </c>
      <c r="F242" s="213" t="s">
        <v>103</v>
      </c>
      <c r="G242" s="213" t="s">
        <v>383</v>
      </c>
      <c r="H242" s="78"/>
      <c r="I242" s="92"/>
      <c r="J242" s="92"/>
      <c r="K242" s="92"/>
      <c r="L242" s="92"/>
      <c r="M242" s="229"/>
      <c r="N242" s="215">
        <f t="shared" si="3"/>
        <v>0</v>
      </c>
      <c r="O242" s="229"/>
      <c r="P242" s="211"/>
    </row>
    <row r="243" spans="1:16" s="7" customFormat="1" ht="18.75" customHeight="1">
      <c r="A243" s="228">
        <v>238</v>
      </c>
      <c r="B243" s="213" t="s">
        <v>689</v>
      </c>
      <c r="C243" s="213" t="s">
        <v>816</v>
      </c>
      <c r="D243" s="213" t="s">
        <v>569</v>
      </c>
      <c r="E243" s="213" t="s">
        <v>96</v>
      </c>
      <c r="F243" s="213" t="s">
        <v>97</v>
      </c>
      <c r="G243" s="213" t="s">
        <v>383</v>
      </c>
      <c r="H243" s="78"/>
      <c r="I243" s="92"/>
      <c r="J243" s="92"/>
      <c r="K243" s="92"/>
      <c r="L243" s="92"/>
      <c r="M243" s="229"/>
      <c r="N243" s="215">
        <f t="shared" si="3"/>
        <v>0</v>
      </c>
      <c r="O243" s="229"/>
      <c r="P243" s="211"/>
    </row>
    <row r="244" spans="1:16" s="7" customFormat="1" ht="18.75" customHeight="1">
      <c r="A244" s="228">
        <v>239</v>
      </c>
      <c r="B244" s="213" t="s">
        <v>599</v>
      </c>
      <c r="C244" s="213" t="s">
        <v>600</v>
      </c>
      <c r="D244" s="213" t="s">
        <v>601</v>
      </c>
      <c r="E244" s="213" t="s">
        <v>96</v>
      </c>
      <c r="F244" s="213" t="s">
        <v>97</v>
      </c>
      <c r="G244" s="213" t="s">
        <v>383</v>
      </c>
      <c r="H244" s="78"/>
      <c r="I244" s="92"/>
      <c r="J244" s="92"/>
      <c r="K244" s="92"/>
      <c r="L244" s="92"/>
      <c r="M244" s="229"/>
      <c r="N244" s="215">
        <f t="shared" si="3"/>
        <v>0</v>
      </c>
      <c r="O244" s="229"/>
      <c r="P244" s="211"/>
    </row>
    <row r="245" spans="1:16" s="7" customFormat="1" ht="18.75" customHeight="1">
      <c r="A245" s="228">
        <v>240</v>
      </c>
      <c r="B245" s="213" t="s">
        <v>596</v>
      </c>
      <c r="C245" s="213" t="s">
        <v>597</v>
      </c>
      <c r="D245" s="213" t="s">
        <v>598</v>
      </c>
      <c r="E245" s="213" t="s">
        <v>96</v>
      </c>
      <c r="F245" s="213" t="s">
        <v>97</v>
      </c>
      <c r="G245" s="213" t="s">
        <v>383</v>
      </c>
      <c r="H245" s="78"/>
      <c r="I245" s="92"/>
      <c r="J245" s="92"/>
      <c r="K245" s="92"/>
      <c r="L245" s="92"/>
      <c r="M245" s="229"/>
      <c r="N245" s="215">
        <f t="shared" si="3"/>
        <v>0</v>
      </c>
      <c r="O245" s="229"/>
      <c r="P245" s="211"/>
    </row>
    <row r="246" spans="1:16" s="7" customFormat="1" ht="18.75" customHeight="1">
      <c r="A246" s="228">
        <v>241</v>
      </c>
      <c r="B246" s="213" t="s">
        <v>585</v>
      </c>
      <c r="C246" s="213" t="s">
        <v>586</v>
      </c>
      <c r="D246" s="213" t="s">
        <v>395</v>
      </c>
      <c r="E246" s="213" t="s">
        <v>96</v>
      </c>
      <c r="F246" s="213" t="s">
        <v>97</v>
      </c>
      <c r="G246" s="213" t="s">
        <v>383</v>
      </c>
      <c r="H246" s="78"/>
      <c r="I246" s="92"/>
      <c r="J246" s="92"/>
      <c r="K246" s="92"/>
      <c r="L246" s="92"/>
      <c r="M246" s="229"/>
      <c r="N246" s="215">
        <f t="shared" si="3"/>
        <v>0</v>
      </c>
      <c r="O246" s="229"/>
      <c r="P246" s="211"/>
    </row>
    <row r="247" spans="1:16" s="7" customFormat="1" ht="18.75" customHeight="1">
      <c r="A247" s="228">
        <v>242</v>
      </c>
      <c r="B247" s="213" t="s">
        <v>470</v>
      </c>
      <c r="C247" s="213" t="s">
        <v>471</v>
      </c>
      <c r="D247" s="213" t="s">
        <v>472</v>
      </c>
      <c r="E247" s="213" t="s">
        <v>96</v>
      </c>
      <c r="F247" s="213" t="s">
        <v>103</v>
      </c>
      <c r="G247" s="213" t="s">
        <v>383</v>
      </c>
      <c r="H247" s="78"/>
      <c r="I247" s="92"/>
      <c r="J247" s="92"/>
      <c r="K247" s="92"/>
      <c r="L247" s="92"/>
      <c r="M247" s="229"/>
      <c r="N247" s="215">
        <f t="shared" si="3"/>
        <v>0</v>
      </c>
      <c r="O247" s="229"/>
      <c r="P247" s="211"/>
    </row>
    <row r="248" spans="1:16" s="7" customFormat="1" ht="18.75" customHeight="1">
      <c r="A248" s="228">
        <v>243</v>
      </c>
      <c r="B248" s="213" t="s">
        <v>981</v>
      </c>
      <c r="C248" s="213" t="s">
        <v>982</v>
      </c>
      <c r="D248" s="213" t="s">
        <v>472</v>
      </c>
      <c r="E248" s="213" t="s">
        <v>96</v>
      </c>
      <c r="F248" s="213" t="s">
        <v>103</v>
      </c>
      <c r="G248" s="213" t="s">
        <v>383</v>
      </c>
      <c r="H248" s="78"/>
      <c r="I248" s="92"/>
      <c r="J248" s="92"/>
      <c r="K248" s="92"/>
      <c r="L248" s="92"/>
      <c r="M248" s="229"/>
      <c r="N248" s="215">
        <f t="shared" si="3"/>
        <v>0</v>
      </c>
      <c r="O248" s="229"/>
      <c r="P248" s="211"/>
    </row>
    <row r="249" spans="1:16" s="7" customFormat="1" ht="18.75" customHeight="1">
      <c r="A249" s="228">
        <v>244</v>
      </c>
      <c r="B249" s="213" t="s">
        <v>985</v>
      </c>
      <c r="C249" s="213" t="s">
        <v>986</v>
      </c>
      <c r="D249" s="213" t="s">
        <v>987</v>
      </c>
      <c r="E249" s="213" t="s">
        <v>96</v>
      </c>
      <c r="F249" s="213" t="s">
        <v>97</v>
      </c>
      <c r="G249" s="213" t="s">
        <v>383</v>
      </c>
      <c r="H249" s="78"/>
      <c r="I249" s="92"/>
      <c r="J249" s="92"/>
      <c r="K249" s="92"/>
      <c r="L249" s="92"/>
      <c r="M249" s="229"/>
      <c r="N249" s="215">
        <f t="shared" si="3"/>
        <v>0</v>
      </c>
      <c r="O249" s="229"/>
      <c r="P249" s="211"/>
    </row>
    <row r="250" spans="1:16" s="7" customFormat="1" ht="18.75" customHeight="1">
      <c r="A250" s="228">
        <v>245</v>
      </c>
      <c r="B250" s="213" t="s">
        <v>533</v>
      </c>
      <c r="C250" s="213" t="s">
        <v>534</v>
      </c>
      <c r="D250" s="213" t="s">
        <v>535</v>
      </c>
      <c r="E250" s="213" t="s">
        <v>96</v>
      </c>
      <c r="F250" s="213" t="s">
        <v>102</v>
      </c>
      <c r="G250" s="213" t="s">
        <v>383</v>
      </c>
      <c r="H250" s="78"/>
      <c r="I250" s="92"/>
      <c r="J250" s="92"/>
      <c r="K250" s="92"/>
      <c r="L250" s="92"/>
      <c r="M250" s="229"/>
      <c r="N250" s="215">
        <f t="shared" si="3"/>
        <v>0</v>
      </c>
      <c r="O250" s="229"/>
      <c r="P250" s="211"/>
    </row>
    <row r="251" spans="1:16" s="7" customFormat="1" ht="18.75" customHeight="1">
      <c r="A251" s="228">
        <v>246</v>
      </c>
      <c r="B251" s="213" t="s">
        <v>542</v>
      </c>
      <c r="C251" s="213" t="s">
        <v>543</v>
      </c>
      <c r="D251" s="213" t="s">
        <v>535</v>
      </c>
      <c r="E251" s="213" t="s">
        <v>96</v>
      </c>
      <c r="F251" s="213" t="s">
        <v>102</v>
      </c>
      <c r="G251" s="213" t="s">
        <v>383</v>
      </c>
      <c r="H251" s="78"/>
      <c r="I251" s="92"/>
      <c r="J251" s="92"/>
      <c r="K251" s="92"/>
      <c r="L251" s="92"/>
      <c r="M251" s="229"/>
      <c r="N251" s="215">
        <f t="shared" si="3"/>
        <v>0</v>
      </c>
      <c r="O251" s="229"/>
      <c r="P251" s="211"/>
    </row>
    <row r="252" spans="1:16" s="7" customFormat="1" ht="18.75" customHeight="1">
      <c r="A252" s="228">
        <v>247</v>
      </c>
      <c r="B252" s="213" t="s">
        <v>988</v>
      </c>
      <c r="C252" s="213" t="s">
        <v>989</v>
      </c>
      <c r="D252" s="213" t="s">
        <v>990</v>
      </c>
      <c r="E252" s="213" t="s">
        <v>96</v>
      </c>
      <c r="F252" s="213" t="s">
        <v>97</v>
      </c>
      <c r="G252" s="213" t="s">
        <v>383</v>
      </c>
      <c r="H252" s="78"/>
      <c r="I252" s="92"/>
      <c r="J252" s="92"/>
      <c r="K252" s="92"/>
      <c r="L252" s="92"/>
      <c r="M252" s="229"/>
      <c r="N252" s="215">
        <f t="shared" si="3"/>
        <v>0</v>
      </c>
      <c r="O252" s="229"/>
      <c r="P252" s="211"/>
    </row>
    <row r="253" spans="1:16" s="7" customFormat="1" ht="18.75" customHeight="1">
      <c r="A253" s="228">
        <v>248</v>
      </c>
      <c r="B253" s="213" t="s">
        <v>589</v>
      </c>
      <c r="C253" s="213" t="s">
        <v>590</v>
      </c>
      <c r="D253" s="213" t="s">
        <v>591</v>
      </c>
      <c r="E253" s="213" t="s">
        <v>123</v>
      </c>
      <c r="F253" s="213" t="s">
        <v>124</v>
      </c>
      <c r="G253" s="213" t="s">
        <v>383</v>
      </c>
      <c r="H253" s="78"/>
      <c r="I253" s="92"/>
      <c r="J253" s="92"/>
      <c r="K253" s="92"/>
      <c r="L253" s="92"/>
      <c r="M253" s="229"/>
      <c r="N253" s="215">
        <f t="shared" si="3"/>
        <v>0</v>
      </c>
      <c r="O253" s="229"/>
      <c r="P253" s="211"/>
    </row>
    <row r="254" spans="1:16" s="7" customFormat="1" ht="18.75" customHeight="1">
      <c r="A254" s="228">
        <v>249</v>
      </c>
      <c r="B254" s="213" t="s">
        <v>604</v>
      </c>
      <c r="C254" s="213" t="s">
        <v>605</v>
      </c>
      <c r="D254" s="213" t="s">
        <v>606</v>
      </c>
      <c r="E254" s="213" t="s">
        <v>123</v>
      </c>
      <c r="F254" s="213" t="s">
        <v>124</v>
      </c>
      <c r="G254" s="213" t="s">
        <v>383</v>
      </c>
      <c r="H254" s="78"/>
      <c r="I254" s="92"/>
      <c r="J254" s="92"/>
      <c r="K254" s="92"/>
      <c r="L254" s="92"/>
      <c r="M254" s="229"/>
      <c r="N254" s="215">
        <f t="shared" si="3"/>
        <v>0</v>
      </c>
      <c r="O254" s="229"/>
      <c r="P254" s="211"/>
    </row>
    <row r="255" spans="1:16" s="7" customFormat="1" ht="18.75" customHeight="1">
      <c r="A255" s="228">
        <v>250</v>
      </c>
      <c r="B255" s="213" t="s">
        <v>565</v>
      </c>
      <c r="C255" s="213" t="s">
        <v>566</v>
      </c>
      <c r="D255" s="213" t="s">
        <v>566</v>
      </c>
      <c r="E255" s="213" t="s">
        <v>123</v>
      </c>
      <c r="F255" s="213" t="s">
        <v>124</v>
      </c>
      <c r="G255" s="213" t="s">
        <v>383</v>
      </c>
      <c r="H255" s="78"/>
      <c r="I255" s="92"/>
      <c r="J255" s="92"/>
      <c r="K255" s="92"/>
      <c r="L255" s="92"/>
      <c r="M255" s="229"/>
      <c r="N255" s="215">
        <f t="shared" si="3"/>
        <v>0</v>
      </c>
      <c r="O255" s="229"/>
      <c r="P255" s="211"/>
    </row>
    <row r="256" spans="1:16" s="7" customFormat="1" ht="18.75" customHeight="1">
      <c r="A256" s="228">
        <v>251</v>
      </c>
      <c r="B256" s="213" t="s">
        <v>531</v>
      </c>
      <c r="C256" s="213" t="s">
        <v>532</v>
      </c>
      <c r="D256" s="213" t="s">
        <v>532</v>
      </c>
      <c r="E256" s="213" t="s">
        <v>123</v>
      </c>
      <c r="F256" s="213" t="s">
        <v>125</v>
      </c>
      <c r="G256" s="213" t="s">
        <v>383</v>
      </c>
      <c r="H256" s="78"/>
      <c r="I256" s="92"/>
      <c r="J256" s="92"/>
      <c r="K256" s="92"/>
      <c r="L256" s="92"/>
      <c r="M256" s="229"/>
      <c r="N256" s="215">
        <f t="shared" si="3"/>
        <v>0</v>
      </c>
      <c r="O256" s="229"/>
      <c r="P256" s="211"/>
    </row>
    <row r="257" spans="1:16" s="7" customFormat="1" ht="18.75" customHeight="1">
      <c r="A257" s="228">
        <v>252</v>
      </c>
      <c r="B257" s="213" t="s">
        <v>544</v>
      </c>
      <c r="C257" s="213" t="s">
        <v>545</v>
      </c>
      <c r="D257" s="213" t="s">
        <v>432</v>
      </c>
      <c r="E257" s="213" t="s">
        <v>123</v>
      </c>
      <c r="F257" s="213" t="s">
        <v>124</v>
      </c>
      <c r="G257" s="213" t="s">
        <v>383</v>
      </c>
      <c r="H257" s="78"/>
      <c r="I257" s="92"/>
      <c r="J257" s="92"/>
      <c r="K257" s="92"/>
      <c r="L257" s="92"/>
      <c r="M257" s="229"/>
      <c r="N257" s="215">
        <f t="shared" si="3"/>
        <v>0</v>
      </c>
      <c r="O257" s="229"/>
      <c r="P257" s="211"/>
    </row>
    <row r="258" spans="1:16" s="7" customFormat="1" ht="18.75" customHeight="1">
      <c r="A258" s="228">
        <v>253</v>
      </c>
      <c r="B258" s="213" t="s">
        <v>430</v>
      </c>
      <c r="C258" s="213" t="s">
        <v>431</v>
      </c>
      <c r="D258" s="213" t="s">
        <v>432</v>
      </c>
      <c r="E258" s="213" t="s">
        <v>123</v>
      </c>
      <c r="F258" s="213" t="s">
        <v>124</v>
      </c>
      <c r="G258" s="213" t="s">
        <v>383</v>
      </c>
      <c r="H258" s="78"/>
      <c r="I258" s="92"/>
      <c r="J258" s="92"/>
      <c r="K258" s="92"/>
      <c r="L258" s="92"/>
      <c r="M258" s="229"/>
      <c r="N258" s="215">
        <f t="shared" si="3"/>
        <v>0</v>
      </c>
      <c r="O258" s="229"/>
      <c r="P258" s="211"/>
    </row>
    <row r="259" spans="1:16" s="7" customFormat="1" ht="18.75" customHeight="1">
      <c r="A259" s="228">
        <v>254</v>
      </c>
      <c r="B259" s="213" t="s">
        <v>587</v>
      </c>
      <c r="C259" s="213" t="s">
        <v>588</v>
      </c>
      <c r="D259" s="213" t="s">
        <v>395</v>
      </c>
      <c r="E259" s="213" t="s">
        <v>123</v>
      </c>
      <c r="F259" s="213" t="s">
        <v>124</v>
      </c>
      <c r="G259" s="213" t="s">
        <v>383</v>
      </c>
      <c r="H259" s="78"/>
      <c r="I259" s="92"/>
      <c r="J259" s="92"/>
      <c r="K259" s="92"/>
      <c r="L259" s="92"/>
      <c r="M259" s="229"/>
      <c r="N259" s="215">
        <f t="shared" si="3"/>
        <v>0</v>
      </c>
      <c r="O259" s="229"/>
      <c r="P259" s="211"/>
    </row>
    <row r="260" spans="1:16" s="7" customFormat="1" ht="18.75" customHeight="1">
      <c r="A260" s="228">
        <v>255</v>
      </c>
      <c r="B260" s="213" t="s">
        <v>583</v>
      </c>
      <c r="C260" s="213" t="s">
        <v>584</v>
      </c>
      <c r="D260" s="213" t="s">
        <v>395</v>
      </c>
      <c r="E260" s="213" t="s">
        <v>123</v>
      </c>
      <c r="F260" s="213" t="s">
        <v>124</v>
      </c>
      <c r="G260" s="213" t="s">
        <v>383</v>
      </c>
      <c r="H260" s="78"/>
      <c r="I260" s="92"/>
      <c r="J260" s="92"/>
      <c r="K260" s="92"/>
      <c r="L260" s="92"/>
      <c r="M260" s="229"/>
      <c r="N260" s="215">
        <f t="shared" si="3"/>
        <v>0</v>
      </c>
      <c r="O260" s="229"/>
      <c r="P260" s="211"/>
    </row>
    <row r="261" spans="1:16" s="7" customFormat="1" ht="18.75" customHeight="1">
      <c r="A261" s="228">
        <v>256</v>
      </c>
      <c r="B261" s="213" t="s">
        <v>536</v>
      </c>
      <c r="C261" s="213" t="s">
        <v>537</v>
      </c>
      <c r="D261" s="213" t="s">
        <v>538</v>
      </c>
      <c r="E261" s="213" t="s">
        <v>123</v>
      </c>
      <c r="F261" s="213" t="s">
        <v>125</v>
      </c>
      <c r="G261" s="213" t="s">
        <v>383</v>
      </c>
      <c r="H261" s="78"/>
      <c r="I261" s="92"/>
      <c r="J261" s="92"/>
      <c r="K261" s="92"/>
      <c r="L261" s="92"/>
      <c r="M261" s="229"/>
      <c r="N261" s="215">
        <f t="shared" si="3"/>
        <v>0</v>
      </c>
      <c r="O261" s="229"/>
      <c r="P261" s="211"/>
    </row>
    <row r="262" spans="1:16" s="7" customFormat="1" ht="18.75" customHeight="1">
      <c r="A262" s="228">
        <v>257</v>
      </c>
      <c r="B262" s="213" t="s">
        <v>540</v>
      </c>
      <c r="C262" s="213" t="s">
        <v>541</v>
      </c>
      <c r="D262" s="213" t="s">
        <v>538</v>
      </c>
      <c r="E262" s="213" t="s">
        <v>123</v>
      </c>
      <c r="F262" s="213" t="s">
        <v>125</v>
      </c>
      <c r="G262" s="213" t="s">
        <v>383</v>
      </c>
      <c r="H262" s="78"/>
      <c r="I262" s="92"/>
      <c r="J262" s="92"/>
      <c r="K262" s="92"/>
      <c r="L262" s="92"/>
      <c r="M262" s="229"/>
      <c r="N262" s="215">
        <f t="shared" si="3"/>
        <v>0</v>
      </c>
      <c r="O262" s="229"/>
      <c r="P262" s="211"/>
    </row>
    <row r="263" spans="1:16" s="7" customFormat="1" ht="18.75" customHeight="1">
      <c r="A263" s="228">
        <v>258</v>
      </c>
      <c r="B263" s="213" t="s">
        <v>689</v>
      </c>
      <c r="C263" s="213" t="s">
        <v>819</v>
      </c>
      <c r="D263" s="213" t="s">
        <v>820</v>
      </c>
      <c r="E263" s="213" t="s">
        <v>123</v>
      </c>
      <c r="F263" s="213" t="s">
        <v>124</v>
      </c>
      <c r="G263" s="213" t="s">
        <v>383</v>
      </c>
      <c r="H263" s="78"/>
      <c r="I263" s="92"/>
      <c r="J263" s="92"/>
      <c r="K263" s="92"/>
      <c r="L263" s="92"/>
      <c r="M263" s="229"/>
      <c r="N263" s="215">
        <f t="shared" ref="N263:N326" si="4">SUM(I263:M263)</f>
        <v>0</v>
      </c>
      <c r="O263" s="229"/>
      <c r="P263" s="211"/>
    </row>
    <row r="264" spans="1:16" s="7" customFormat="1" ht="18.75" customHeight="1">
      <c r="A264" s="228">
        <v>259</v>
      </c>
      <c r="B264" s="213" t="s">
        <v>879</v>
      </c>
      <c r="C264" s="213" t="s">
        <v>880</v>
      </c>
      <c r="D264" s="213" t="s">
        <v>881</v>
      </c>
      <c r="E264" s="213" t="s">
        <v>172</v>
      </c>
      <c r="F264" s="213" t="s">
        <v>173</v>
      </c>
      <c r="G264" s="213" t="s">
        <v>383</v>
      </c>
      <c r="H264" s="78"/>
      <c r="I264" s="92"/>
      <c r="J264" s="92"/>
      <c r="K264" s="92"/>
      <c r="L264" s="92"/>
      <c r="M264" s="229"/>
      <c r="N264" s="215">
        <f t="shared" si="4"/>
        <v>0</v>
      </c>
      <c r="O264" s="229"/>
      <c r="P264" s="211"/>
    </row>
    <row r="265" spans="1:16" s="7" customFormat="1" ht="18.75" customHeight="1">
      <c r="A265" s="228">
        <v>260</v>
      </c>
      <c r="B265" s="213" t="s">
        <v>642</v>
      </c>
      <c r="C265" s="213" t="s">
        <v>643</v>
      </c>
      <c r="D265" s="213" t="s">
        <v>644</v>
      </c>
      <c r="E265" s="213" t="s">
        <v>172</v>
      </c>
      <c r="F265" s="213" t="s">
        <v>173</v>
      </c>
      <c r="G265" s="213" t="s">
        <v>383</v>
      </c>
      <c r="H265" s="78"/>
      <c r="I265" s="92"/>
      <c r="J265" s="92"/>
      <c r="K265" s="92"/>
      <c r="L265" s="92"/>
      <c r="M265" s="229"/>
      <c r="N265" s="215">
        <f t="shared" si="4"/>
        <v>0</v>
      </c>
      <c r="O265" s="229"/>
      <c r="P265" s="211"/>
    </row>
    <row r="266" spans="1:16" s="7" customFormat="1" ht="18.75" customHeight="1">
      <c r="A266" s="228">
        <v>261</v>
      </c>
      <c r="B266" s="213" t="s">
        <v>629</v>
      </c>
      <c r="C266" s="213" t="s">
        <v>630</v>
      </c>
      <c r="D266" s="213" t="s">
        <v>631</v>
      </c>
      <c r="E266" s="213" t="s">
        <v>172</v>
      </c>
      <c r="F266" s="213" t="s">
        <v>173</v>
      </c>
      <c r="G266" s="213" t="s">
        <v>383</v>
      </c>
      <c r="H266" s="78"/>
      <c r="I266" s="92"/>
      <c r="J266" s="92"/>
      <c r="K266" s="92"/>
      <c r="L266" s="92"/>
      <c r="M266" s="229"/>
      <c r="N266" s="215">
        <f t="shared" si="4"/>
        <v>0</v>
      </c>
      <c r="O266" s="229"/>
      <c r="P266" s="211"/>
    </row>
    <row r="267" spans="1:16" s="7" customFormat="1" ht="18.75" customHeight="1">
      <c r="A267" s="228">
        <v>262</v>
      </c>
      <c r="B267" s="213" t="s">
        <v>632</v>
      </c>
      <c r="C267" s="213" t="s">
        <v>633</v>
      </c>
      <c r="D267" s="213" t="s">
        <v>631</v>
      </c>
      <c r="E267" s="213" t="s">
        <v>172</v>
      </c>
      <c r="F267" s="213" t="s">
        <v>173</v>
      </c>
      <c r="G267" s="213" t="s">
        <v>383</v>
      </c>
      <c r="H267" s="78"/>
      <c r="I267" s="92"/>
      <c r="J267" s="92"/>
      <c r="K267" s="92"/>
      <c r="L267" s="92"/>
      <c r="M267" s="229"/>
      <c r="N267" s="215">
        <f t="shared" si="4"/>
        <v>0</v>
      </c>
      <c r="O267" s="229"/>
      <c r="P267" s="211"/>
    </row>
    <row r="268" spans="1:16" s="7" customFormat="1" ht="18.75" customHeight="1">
      <c r="A268" s="228">
        <v>263</v>
      </c>
      <c r="B268" s="213" t="s">
        <v>1141</v>
      </c>
      <c r="C268" s="213" t="s">
        <v>1142</v>
      </c>
      <c r="D268" s="213" t="s">
        <v>660</v>
      </c>
      <c r="E268" s="213" t="s">
        <v>179</v>
      </c>
      <c r="F268" s="213" t="s">
        <v>180</v>
      </c>
      <c r="G268" s="213" t="s">
        <v>383</v>
      </c>
      <c r="H268" s="78"/>
      <c r="I268" s="92"/>
      <c r="J268" s="92"/>
      <c r="K268" s="92"/>
      <c r="L268" s="92"/>
      <c r="M268" s="229"/>
      <c r="N268" s="215">
        <f t="shared" si="4"/>
        <v>0</v>
      </c>
      <c r="O268" s="229"/>
      <c r="P268" s="211"/>
    </row>
    <row r="269" spans="1:16" s="7" customFormat="1" ht="18.75" customHeight="1">
      <c r="A269" s="228">
        <v>264</v>
      </c>
      <c r="B269" s="213" t="s">
        <v>658</v>
      </c>
      <c r="C269" s="213" t="s">
        <v>659</v>
      </c>
      <c r="D269" s="213" t="s">
        <v>660</v>
      </c>
      <c r="E269" s="213" t="s">
        <v>179</v>
      </c>
      <c r="F269" s="213" t="s">
        <v>180</v>
      </c>
      <c r="G269" s="213" t="s">
        <v>383</v>
      </c>
      <c r="H269" s="78"/>
      <c r="I269" s="92"/>
      <c r="J269" s="92"/>
      <c r="K269" s="92"/>
      <c r="L269" s="92"/>
      <c r="M269" s="229"/>
      <c r="N269" s="215">
        <f t="shared" si="4"/>
        <v>0</v>
      </c>
      <c r="O269" s="229"/>
      <c r="P269" s="211"/>
    </row>
    <row r="270" spans="1:16" s="7" customFormat="1" ht="18.75" customHeight="1">
      <c r="A270" s="228">
        <v>265</v>
      </c>
      <c r="B270" s="213" t="s">
        <v>661</v>
      </c>
      <c r="C270" s="213" t="s">
        <v>662</v>
      </c>
      <c r="D270" s="213" t="s">
        <v>660</v>
      </c>
      <c r="E270" s="213" t="s">
        <v>179</v>
      </c>
      <c r="F270" s="213" t="s">
        <v>180</v>
      </c>
      <c r="G270" s="213" t="s">
        <v>383</v>
      </c>
      <c r="H270" s="78"/>
      <c r="I270" s="92"/>
      <c r="J270" s="92"/>
      <c r="K270" s="92"/>
      <c r="L270" s="92"/>
      <c r="M270" s="229"/>
      <c r="N270" s="215">
        <f t="shared" si="4"/>
        <v>0</v>
      </c>
      <c r="O270" s="229"/>
      <c r="P270" s="211"/>
    </row>
    <row r="271" spans="1:16" s="7" customFormat="1" ht="18.75" customHeight="1">
      <c r="A271" s="228">
        <v>266</v>
      </c>
      <c r="B271" s="213" t="s">
        <v>634</v>
      </c>
      <c r="C271" s="213" t="s">
        <v>635</v>
      </c>
      <c r="D271" s="213" t="s">
        <v>636</v>
      </c>
      <c r="E271" s="213" t="s">
        <v>184</v>
      </c>
      <c r="F271" s="213" t="s">
        <v>185</v>
      </c>
      <c r="G271" s="213" t="s">
        <v>383</v>
      </c>
      <c r="H271" s="78"/>
      <c r="I271" s="92"/>
      <c r="J271" s="92"/>
      <c r="K271" s="92"/>
      <c r="L271" s="92"/>
      <c r="M271" s="229"/>
      <c r="N271" s="215">
        <f t="shared" si="4"/>
        <v>0</v>
      </c>
      <c r="O271" s="229"/>
      <c r="P271" s="211"/>
    </row>
    <row r="272" spans="1:16" s="7" customFormat="1" ht="18.75" customHeight="1">
      <c r="A272" s="228">
        <v>267</v>
      </c>
      <c r="B272" s="213" t="s">
        <v>1175</v>
      </c>
      <c r="C272" s="213" t="s">
        <v>1176</v>
      </c>
      <c r="D272" s="213" t="s">
        <v>636</v>
      </c>
      <c r="E272" s="213" t="s">
        <v>184</v>
      </c>
      <c r="F272" s="213" t="s">
        <v>185</v>
      </c>
      <c r="G272" s="213" t="s">
        <v>383</v>
      </c>
      <c r="H272" s="78"/>
      <c r="I272" s="92"/>
      <c r="J272" s="92"/>
      <c r="K272" s="92"/>
      <c r="L272" s="92"/>
      <c r="M272" s="229"/>
      <c r="N272" s="215">
        <f t="shared" si="4"/>
        <v>0</v>
      </c>
      <c r="O272" s="229"/>
      <c r="P272" s="211"/>
    </row>
    <row r="273" spans="1:16" s="7" customFormat="1" ht="18.75" customHeight="1">
      <c r="A273" s="228">
        <v>268</v>
      </c>
      <c r="B273" s="213" t="s">
        <v>626</v>
      </c>
      <c r="C273" s="213" t="s">
        <v>627</v>
      </c>
      <c r="D273" s="213" t="s">
        <v>628</v>
      </c>
      <c r="E273" s="213" t="s">
        <v>184</v>
      </c>
      <c r="F273" s="213" t="s">
        <v>185</v>
      </c>
      <c r="G273" s="213" t="s">
        <v>383</v>
      </c>
      <c r="H273" s="78"/>
      <c r="I273" s="92"/>
      <c r="J273" s="92"/>
      <c r="K273" s="92"/>
      <c r="L273" s="92"/>
      <c r="M273" s="229"/>
      <c r="N273" s="215">
        <f t="shared" si="4"/>
        <v>0</v>
      </c>
      <c r="O273" s="229"/>
      <c r="P273" s="211"/>
    </row>
    <row r="274" spans="1:16" s="7" customFormat="1" ht="18.75" customHeight="1">
      <c r="A274" s="228">
        <v>269</v>
      </c>
      <c r="B274" s="213" t="s">
        <v>623</v>
      </c>
      <c r="C274" s="213" t="s">
        <v>624</v>
      </c>
      <c r="D274" s="213" t="s">
        <v>625</v>
      </c>
      <c r="E274" s="213" t="s">
        <v>184</v>
      </c>
      <c r="F274" s="213" t="s">
        <v>185</v>
      </c>
      <c r="G274" s="213" t="s">
        <v>383</v>
      </c>
      <c r="H274" s="78"/>
      <c r="I274" s="92"/>
      <c r="J274" s="92"/>
      <c r="K274" s="92"/>
      <c r="L274" s="92"/>
      <c r="M274" s="229"/>
      <c r="N274" s="215">
        <f t="shared" si="4"/>
        <v>0</v>
      </c>
      <c r="O274" s="229"/>
      <c r="P274" s="211"/>
    </row>
    <row r="275" spans="1:16" s="7" customFormat="1" ht="18.75" customHeight="1">
      <c r="A275" s="228">
        <v>270</v>
      </c>
      <c r="B275" s="213" t="s">
        <v>573</v>
      </c>
      <c r="C275" s="213" t="s">
        <v>574</v>
      </c>
      <c r="D275" s="213" t="s">
        <v>575</v>
      </c>
      <c r="E275" s="213" t="s">
        <v>210</v>
      </c>
      <c r="F275" s="213" t="s">
        <v>211</v>
      </c>
      <c r="G275" s="213" t="s">
        <v>383</v>
      </c>
      <c r="H275" s="78"/>
      <c r="I275" s="92"/>
      <c r="J275" s="92"/>
      <c r="K275" s="92"/>
      <c r="L275" s="92"/>
      <c r="M275" s="229"/>
      <c r="N275" s="215">
        <f t="shared" si="4"/>
        <v>0</v>
      </c>
      <c r="O275" s="229"/>
      <c r="P275" s="211"/>
    </row>
    <row r="276" spans="1:16" s="7" customFormat="1" ht="18.75" customHeight="1">
      <c r="A276" s="228">
        <v>271</v>
      </c>
      <c r="B276" s="213" t="s">
        <v>865</v>
      </c>
      <c r="C276" s="213" t="s">
        <v>866</v>
      </c>
      <c r="D276" s="213" t="s">
        <v>575</v>
      </c>
      <c r="E276" s="213" t="s">
        <v>210</v>
      </c>
      <c r="F276" s="213" t="s">
        <v>211</v>
      </c>
      <c r="G276" s="213" t="s">
        <v>383</v>
      </c>
      <c r="H276" s="78"/>
      <c r="I276" s="92"/>
      <c r="J276" s="92"/>
      <c r="K276" s="92"/>
      <c r="L276" s="92"/>
      <c r="M276" s="229"/>
      <c r="N276" s="215">
        <f t="shared" si="4"/>
        <v>0</v>
      </c>
      <c r="O276" s="229"/>
      <c r="P276" s="211"/>
    </row>
    <row r="277" spans="1:16" s="7" customFormat="1" ht="18.75" customHeight="1">
      <c r="A277" s="228">
        <v>272</v>
      </c>
      <c r="B277" s="213" t="s">
        <v>807</v>
      </c>
      <c r="C277" s="213" t="s">
        <v>808</v>
      </c>
      <c r="D277" s="213" t="s">
        <v>575</v>
      </c>
      <c r="E277" s="213" t="s">
        <v>210</v>
      </c>
      <c r="F277" s="213" t="s">
        <v>211</v>
      </c>
      <c r="G277" s="213" t="s">
        <v>383</v>
      </c>
      <c r="H277" s="78"/>
      <c r="I277" s="92"/>
      <c r="J277" s="92"/>
      <c r="K277" s="92"/>
      <c r="L277" s="92"/>
      <c r="M277" s="229"/>
      <c r="N277" s="215">
        <f t="shared" si="4"/>
        <v>0</v>
      </c>
      <c r="O277" s="229"/>
      <c r="P277" s="211"/>
    </row>
    <row r="278" spans="1:16" s="7" customFormat="1" ht="18.75" customHeight="1">
      <c r="A278" s="228">
        <v>273</v>
      </c>
      <c r="B278" s="213" t="s">
        <v>560</v>
      </c>
      <c r="C278" s="213" t="s">
        <v>558</v>
      </c>
      <c r="D278" s="213" t="s">
        <v>561</v>
      </c>
      <c r="E278" s="213" t="s">
        <v>210</v>
      </c>
      <c r="F278" s="213" t="s">
        <v>211</v>
      </c>
      <c r="G278" s="213" t="s">
        <v>383</v>
      </c>
      <c r="H278" s="78"/>
      <c r="I278" s="92"/>
      <c r="J278" s="92"/>
      <c r="K278" s="92"/>
      <c r="L278" s="92"/>
      <c r="M278" s="229"/>
      <c r="N278" s="215">
        <f t="shared" si="4"/>
        <v>0</v>
      </c>
      <c r="O278" s="229"/>
      <c r="P278" s="211"/>
    </row>
    <row r="279" spans="1:16" s="7" customFormat="1" ht="18.75" customHeight="1">
      <c r="A279" s="228">
        <v>274</v>
      </c>
      <c r="B279" s="213" t="s">
        <v>867</v>
      </c>
      <c r="C279" s="213" t="s">
        <v>868</v>
      </c>
      <c r="D279" s="213" t="s">
        <v>564</v>
      </c>
      <c r="E279" s="213" t="s">
        <v>210</v>
      </c>
      <c r="F279" s="213" t="s">
        <v>211</v>
      </c>
      <c r="G279" s="213" t="s">
        <v>383</v>
      </c>
      <c r="H279" s="78"/>
      <c r="I279" s="92"/>
      <c r="J279" s="92"/>
      <c r="K279" s="92"/>
      <c r="L279" s="92"/>
      <c r="M279" s="229"/>
      <c r="N279" s="215">
        <f t="shared" si="4"/>
        <v>0</v>
      </c>
      <c r="O279" s="229"/>
      <c r="P279" s="211"/>
    </row>
    <row r="280" spans="1:16" s="7" customFormat="1" ht="18.75" customHeight="1">
      <c r="A280" s="228">
        <v>275</v>
      </c>
      <c r="B280" s="213" t="s">
        <v>809</v>
      </c>
      <c r="C280" s="213" t="s">
        <v>810</v>
      </c>
      <c r="D280" s="213" t="s">
        <v>564</v>
      </c>
      <c r="E280" s="213" t="s">
        <v>210</v>
      </c>
      <c r="F280" s="213" t="s">
        <v>211</v>
      </c>
      <c r="G280" s="213" t="s">
        <v>383</v>
      </c>
      <c r="H280" s="78"/>
      <c r="I280" s="92"/>
      <c r="J280" s="92"/>
      <c r="K280" s="92"/>
      <c r="L280" s="92"/>
      <c r="M280" s="229"/>
      <c r="N280" s="215">
        <f t="shared" si="4"/>
        <v>0</v>
      </c>
      <c r="O280" s="229"/>
      <c r="P280" s="211"/>
    </row>
    <row r="281" spans="1:16" s="7" customFormat="1" ht="18.75" customHeight="1">
      <c r="A281" s="228">
        <v>276</v>
      </c>
      <c r="B281" s="213" t="s">
        <v>670</v>
      </c>
      <c r="C281" s="213" t="s">
        <v>810</v>
      </c>
      <c r="D281" s="213" t="s">
        <v>564</v>
      </c>
      <c r="E281" s="213" t="s">
        <v>210</v>
      </c>
      <c r="F281" s="213" t="s">
        <v>211</v>
      </c>
      <c r="G281" s="213" t="s">
        <v>383</v>
      </c>
      <c r="H281" s="78"/>
      <c r="I281" s="92"/>
      <c r="J281" s="92"/>
      <c r="K281" s="92"/>
      <c r="L281" s="92"/>
      <c r="M281" s="229"/>
      <c r="N281" s="215">
        <f t="shared" si="4"/>
        <v>0</v>
      </c>
      <c r="O281" s="229"/>
      <c r="P281" s="211"/>
    </row>
    <row r="282" spans="1:16" s="7" customFormat="1" ht="18.75" customHeight="1">
      <c r="A282" s="228">
        <v>277</v>
      </c>
      <c r="B282" s="213" t="s">
        <v>562</v>
      </c>
      <c r="C282" s="213" t="s">
        <v>563</v>
      </c>
      <c r="D282" s="213" t="s">
        <v>564</v>
      </c>
      <c r="E282" s="213" t="s">
        <v>210</v>
      </c>
      <c r="F282" s="213" t="s">
        <v>211</v>
      </c>
      <c r="G282" s="213" t="s">
        <v>383</v>
      </c>
      <c r="H282" s="78"/>
      <c r="I282" s="92"/>
      <c r="J282" s="92"/>
      <c r="K282" s="92"/>
      <c r="L282" s="92"/>
      <c r="M282" s="229"/>
      <c r="N282" s="215">
        <f t="shared" si="4"/>
        <v>0</v>
      </c>
      <c r="O282" s="229"/>
      <c r="P282" s="211"/>
    </row>
    <row r="283" spans="1:16" s="7" customFormat="1" ht="18.75" customHeight="1">
      <c r="A283" s="228">
        <v>278</v>
      </c>
      <c r="B283" s="213" t="s">
        <v>557</v>
      </c>
      <c r="C283" s="213" t="s">
        <v>558</v>
      </c>
      <c r="D283" s="213" t="s">
        <v>559</v>
      </c>
      <c r="E283" s="213" t="s">
        <v>210</v>
      </c>
      <c r="F283" s="213" t="s">
        <v>211</v>
      </c>
      <c r="G283" s="213" t="s">
        <v>383</v>
      </c>
      <c r="H283" s="78"/>
      <c r="I283" s="92"/>
      <c r="J283" s="92"/>
      <c r="K283" s="92"/>
      <c r="L283" s="92"/>
      <c r="M283" s="229"/>
      <c r="N283" s="215">
        <f t="shared" si="4"/>
        <v>0</v>
      </c>
      <c r="O283" s="229"/>
      <c r="P283" s="211"/>
    </row>
    <row r="284" spans="1:16" s="7" customFormat="1" ht="18.75" customHeight="1">
      <c r="A284" s="228">
        <v>279</v>
      </c>
      <c r="B284" s="213" t="s">
        <v>862</v>
      </c>
      <c r="C284" s="213" t="s">
        <v>863</v>
      </c>
      <c r="D284" s="213" t="s">
        <v>559</v>
      </c>
      <c r="E284" s="213" t="s">
        <v>210</v>
      </c>
      <c r="F284" s="213" t="s">
        <v>211</v>
      </c>
      <c r="G284" s="213" t="s">
        <v>383</v>
      </c>
      <c r="H284" s="78"/>
      <c r="I284" s="92"/>
      <c r="J284" s="92"/>
      <c r="K284" s="92"/>
      <c r="L284" s="92"/>
      <c r="M284" s="229"/>
      <c r="N284" s="215">
        <f t="shared" si="4"/>
        <v>0</v>
      </c>
      <c r="O284" s="229"/>
      <c r="P284" s="211"/>
    </row>
    <row r="285" spans="1:16" s="7" customFormat="1" ht="18.75" customHeight="1">
      <c r="A285" s="228">
        <v>280</v>
      </c>
      <c r="B285" s="213" t="s">
        <v>821</v>
      </c>
      <c r="C285" s="213" t="s">
        <v>822</v>
      </c>
      <c r="D285" s="213" t="s">
        <v>559</v>
      </c>
      <c r="E285" s="213" t="s">
        <v>210</v>
      </c>
      <c r="F285" s="213" t="s">
        <v>211</v>
      </c>
      <c r="G285" s="213" t="s">
        <v>383</v>
      </c>
      <c r="H285" s="78"/>
      <c r="I285" s="92"/>
      <c r="J285" s="92"/>
      <c r="K285" s="92"/>
      <c r="L285" s="92"/>
      <c r="M285" s="229"/>
      <c r="N285" s="215">
        <f t="shared" si="4"/>
        <v>0</v>
      </c>
      <c r="O285" s="229"/>
      <c r="P285" s="211"/>
    </row>
    <row r="286" spans="1:16" s="7" customFormat="1" ht="18.75" customHeight="1">
      <c r="A286" s="228">
        <v>281</v>
      </c>
      <c r="B286" s="213" t="s">
        <v>524</v>
      </c>
      <c r="C286" s="213" t="s">
        <v>592</v>
      </c>
      <c r="D286" s="213" t="s">
        <v>395</v>
      </c>
      <c r="E286" s="213" t="s">
        <v>210</v>
      </c>
      <c r="F286" s="213" t="s">
        <v>211</v>
      </c>
      <c r="G286" s="213" t="s">
        <v>383</v>
      </c>
      <c r="H286" s="78"/>
      <c r="I286" s="92"/>
      <c r="J286" s="92"/>
      <c r="K286" s="92"/>
      <c r="L286" s="92"/>
      <c r="M286" s="229"/>
      <c r="N286" s="215">
        <f t="shared" si="4"/>
        <v>0</v>
      </c>
      <c r="O286" s="229"/>
      <c r="P286" s="211"/>
    </row>
    <row r="287" spans="1:16" s="7" customFormat="1" ht="18.75" customHeight="1">
      <c r="A287" s="228">
        <v>282</v>
      </c>
      <c r="B287" s="213" t="s">
        <v>480</v>
      </c>
      <c r="C287" s="213" t="s">
        <v>481</v>
      </c>
      <c r="D287" s="213" t="s">
        <v>395</v>
      </c>
      <c r="E287" s="213" t="s">
        <v>210</v>
      </c>
      <c r="F287" s="213" t="s">
        <v>211</v>
      </c>
      <c r="G287" s="213" t="s">
        <v>383</v>
      </c>
      <c r="H287" s="78"/>
      <c r="I287" s="92"/>
      <c r="J287" s="92"/>
      <c r="K287" s="92"/>
      <c r="L287" s="92"/>
      <c r="M287" s="229"/>
      <c r="N287" s="215">
        <f t="shared" si="4"/>
        <v>0</v>
      </c>
      <c r="O287" s="229"/>
      <c r="P287" s="211"/>
    </row>
    <row r="288" spans="1:16" s="7" customFormat="1" ht="18.75" customHeight="1">
      <c r="A288" s="228">
        <v>283</v>
      </c>
      <c r="B288" s="213" t="s">
        <v>482</v>
      </c>
      <c r="C288" s="213" t="s">
        <v>483</v>
      </c>
      <c r="D288" s="213" t="s">
        <v>395</v>
      </c>
      <c r="E288" s="213" t="s">
        <v>210</v>
      </c>
      <c r="F288" s="213" t="s">
        <v>211</v>
      </c>
      <c r="G288" s="213" t="s">
        <v>383</v>
      </c>
      <c r="H288" s="78"/>
      <c r="I288" s="92"/>
      <c r="J288" s="92"/>
      <c r="K288" s="92"/>
      <c r="L288" s="92"/>
      <c r="M288" s="229"/>
      <c r="N288" s="215">
        <f t="shared" si="4"/>
        <v>0</v>
      </c>
      <c r="O288" s="229"/>
      <c r="P288" s="211"/>
    </row>
    <row r="289" spans="1:16" s="7" customFormat="1" ht="18.75" customHeight="1">
      <c r="A289" s="228">
        <v>284</v>
      </c>
      <c r="B289" s="213" t="s">
        <v>556</v>
      </c>
      <c r="C289" s="213" t="s">
        <v>554</v>
      </c>
      <c r="D289" s="213" t="s">
        <v>554</v>
      </c>
      <c r="E289" s="213" t="s">
        <v>250</v>
      </c>
      <c r="F289" s="213" t="s">
        <v>251</v>
      </c>
      <c r="G289" s="213" t="s">
        <v>383</v>
      </c>
      <c r="H289" s="78"/>
      <c r="I289" s="92"/>
      <c r="J289" s="92"/>
      <c r="K289" s="92"/>
      <c r="L289" s="92"/>
      <c r="M289" s="229"/>
      <c r="N289" s="215">
        <f t="shared" si="4"/>
        <v>0</v>
      </c>
      <c r="O289" s="229"/>
      <c r="P289" s="211"/>
    </row>
    <row r="290" spans="1:16" s="7" customFormat="1" ht="18.75" customHeight="1">
      <c r="A290" s="228">
        <v>285</v>
      </c>
      <c r="B290" s="213" t="s">
        <v>552</v>
      </c>
      <c r="C290" s="213" t="s">
        <v>553</v>
      </c>
      <c r="D290" s="213" t="s">
        <v>554</v>
      </c>
      <c r="E290" s="213" t="s">
        <v>250</v>
      </c>
      <c r="F290" s="213" t="s">
        <v>251</v>
      </c>
      <c r="G290" s="213" t="s">
        <v>383</v>
      </c>
      <c r="H290" s="78"/>
      <c r="I290" s="92"/>
      <c r="J290" s="92"/>
      <c r="K290" s="92"/>
      <c r="L290" s="92"/>
      <c r="M290" s="229"/>
      <c r="N290" s="215">
        <f t="shared" si="4"/>
        <v>0</v>
      </c>
      <c r="O290" s="229"/>
      <c r="P290" s="211"/>
    </row>
    <row r="291" spans="1:16" s="7" customFormat="1" ht="18.75" customHeight="1">
      <c r="A291" s="228">
        <v>286</v>
      </c>
      <c r="B291" s="213" t="s">
        <v>555</v>
      </c>
      <c r="C291" s="213" t="s">
        <v>553</v>
      </c>
      <c r="D291" s="213" t="s">
        <v>554</v>
      </c>
      <c r="E291" s="213" t="s">
        <v>250</v>
      </c>
      <c r="F291" s="213" t="s">
        <v>251</v>
      </c>
      <c r="G291" s="213" t="s">
        <v>383</v>
      </c>
      <c r="H291" s="78"/>
      <c r="I291" s="92"/>
      <c r="J291" s="92"/>
      <c r="K291" s="92"/>
      <c r="L291" s="92"/>
      <c r="M291" s="229"/>
      <c r="N291" s="215">
        <f t="shared" si="4"/>
        <v>0</v>
      </c>
      <c r="O291" s="229"/>
      <c r="P291" s="211"/>
    </row>
    <row r="292" spans="1:16" s="7" customFormat="1" ht="18.75" customHeight="1">
      <c r="A292" s="228">
        <v>287</v>
      </c>
      <c r="B292" s="213" t="s">
        <v>857</v>
      </c>
      <c r="C292" s="213" t="s">
        <v>858</v>
      </c>
      <c r="D292" s="213" t="s">
        <v>859</v>
      </c>
      <c r="E292" s="213" t="s">
        <v>250</v>
      </c>
      <c r="F292" s="213" t="s">
        <v>251</v>
      </c>
      <c r="G292" s="213" t="s">
        <v>383</v>
      </c>
      <c r="H292" s="78"/>
      <c r="I292" s="92"/>
      <c r="J292" s="92"/>
      <c r="K292" s="92"/>
      <c r="L292" s="92"/>
      <c r="M292" s="229"/>
      <c r="N292" s="215">
        <f t="shared" si="4"/>
        <v>0</v>
      </c>
      <c r="O292" s="229"/>
      <c r="P292" s="211"/>
    </row>
    <row r="293" spans="1:16" s="7" customFormat="1" ht="18.75" customHeight="1">
      <c r="A293" s="228">
        <v>288</v>
      </c>
      <c r="B293" s="213" t="s">
        <v>864</v>
      </c>
      <c r="C293" s="213" t="s">
        <v>858</v>
      </c>
      <c r="D293" s="213" t="s">
        <v>859</v>
      </c>
      <c r="E293" s="213" t="s">
        <v>250</v>
      </c>
      <c r="F293" s="213" t="s">
        <v>251</v>
      </c>
      <c r="G293" s="213" t="s">
        <v>383</v>
      </c>
      <c r="H293" s="78"/>
      <c r="I293" s="92"/>
      <c r="J293" s="92"/>
      <c r="K293" s="92"/>
      <c r="L293" s="92"/>
      <c r="M293" s="229"/>
      <c r="N293" s="215">
        <f t="shared" si="4"/>
        <v>0</v>
      </c>
      <c r="O293" s="229"/>
      <c r="P293" s="211"/>
    </row>
    <row r="294" spans="1:16" s="7" customFormat="1" ht="18.75" customHeight="1">
      <c r="A294" s="228">
        <v>289</v>
      </c>
      <c r="B294" s="213" t="s">
        <v>578</v>
      </c>
      <c r="C294" s="213" t="s">
        <v>579</v>
      </c>
      <c r="D294" s="213" t="s">
        <v>395</v>
      </c>
      <c r="E294" s="213" t="s">
        <v>250</v>
      </c>
      <c r="F294" s="213" t="s">
        <v>251</v>
      </c>
      <c r="G294" s="213" t="s">
        <v>383</v>
      </c>
      <c r="H294" s="78"/>
      <c r="I294" s="92"/>
      <c r="J294" s="92"/>
      <c r="K294" s="92"/>
      <c r="L294" s="92"/>
      <c r="M294" s="229"/>
      <c r="N294" s="215">
        <f t="shared" si="4"/>
        <v>0</v>
      </c>
      <c r="O294" s="229"/>
      <c r="P294" s="211"/>
    </row>
    <row r="295" spans="1:16" s="7" customFormat="1" ht="18.75" customHeight="1">
      <c r="A295" s="228">
        <v>290</v>
      </c>
      <c r="B295" s="213" t="s">
        <v>576</v>
      </c>
      <c r="C295" s="213" t="s">
        <v>577</v>
      </c>
      <c r="D295" s="213" t="s">
        <v>395</v>
      </c>
      <c r="E295" s="213" t="s">
        <v>250</v>
      </c>
      <c r="F295" s="213" t="s">
        <v>251</v>
      </c>
      <c r="G295" s="213" t="s">
        <v>383</v>
      </c>
      <c r="H295" s="78"/>
      <c r="I295" s="92"/>
      <c r="J295" s="92"/>
      <c r="K295" s="92"/>
      <c r="L295" s="92"/>
      <c r="M295" s="229"/>
      <c r="N295" s="215">
        <f t="shared" si="4"/>
        <v>0</v>
      </c>
      <c r="O295" s="229"/>
      <c r="P295" s="211"/>
    </row>
    <row r="296" spans="1:16" s="7" customFormat="1" ht="18.75" customHeight="1">
      <c r="A296" s="228">
        <v>291</v>
      </c>
      <c r="B296" s="213" t="s">
        <v>607</v>
      </c>
      <c r="C296" s="213" t="s">
        <v>608</v>
      </c>
      <c r="D296" s="213" t="s">
        <v>608</v>
      </c>
      <c r="E296" s="213" t="s">
        <v>250</v>
      </c>
      <c r="F296" s="213" t="s">
        <v>251</v>
      </c>
      <c r="G296" s="213" t="s">
        <v>383</v>
      </c>
      <c r="H296" s="78"/>
      <c r="I296" s="92"/>
      <c r="J296" s="92"/>
      <c r="K296" s="92"/>
      <c r="L296" s="92"/>
      <c r="M296" s="229"/>
      <c r="N296" s="215">
        <f t="shared" si="4"/>
        <v>0</v>
      </c>
      <c r="O296" s="229"/>
      <c r="P296" s="211"/>
    </row>
    <row r="297" spans="1:16" s="7" customFormat="1" ht="18.75" customHeight="1">
      <c r="A297" s="228">
        <v>292</v>
      </c>
      <c r="B297" s="213" t="s">
        <v>873</v>
      </c>
      <c r="C297" s="213" t="s">
        <v>874</v>
      </c>
      <c r="D297" s="213" t="s">
        <v>875</v>
      </c>
      <c r="E297" s="213" t="s">
        <v>250</v>
      </c>
      <c r="F297" s="213" t="s">
        <v>251</v>
      </c>
      <c r="G297" s="213" t="s">
        <v>383</v>
      </c>
      <c r="H297" s="78"/>
      <c r="I297" s="92"/>
      <c r="J297" s="92"/>
      <c r="K297" s="92"/>
      <c r="L297" s="92"/>
      <c r="M297" s="229"/>
      <c r="N297" s="215">
        <f t="shared" si="4"/>
        <v>0</v>
      </c>
      <c r="O297" s="229"/>
      <c r="P297" s="211"/>
    </row>
    <row r="298" spans="1:16" s="7" customFormat="1" ht="18.75" customHeight="1">
      <c r="A298" s="228">
        <v>293</v>
      </c>
      <c r="B298" s="213" t="s">
        <v>549</v>
      </c>
      <c r="C298" s="213" t="s">
        <v>550</v>
      </c>
      <c r="D298" s="213" t="s">
        <v>551</v>
      </c>
      <c r="E298" s="213" t="s">
        <v>250</v>
      </c>
      <c r="F298" s="213" t="s">
        <v>251</v>
      </c>
      <c r="G298" s="213" t="s">
        <v>383</v>
      </c>
      <c r="H298" s="78"/>
      <c r="I298" s="92"/>
      <c r="J298" s="92"/>
      <c r="K298" s="92"/>
      <c r="L298" s="92"/>
      <c r="M298" s="229"/>
      <c r="N298" s="215">
        <f t="shared" si="4"/>
        <v>0</v>
      </c>
      <c r="O298" s="229"/>
      <c r="P298" s="211"/>
    </row>
    <row r="299" spans="1:16" s="7" customFormat="1" ht="18.75" customHeight="1">
      <c r="A299" s="228">
        <v>294</v>
      </c>
      <c r="B299" s="213" t="s">
        <v>983</v>
      </c>
      <c r="C299" s="213" t="s">
        <v>984</v>
      </c>
      <c r="D299" s="213" t="s">
        <v>551</v>
      </c>
      <c r="E299" s="213" t="s">
        <v>250</v>
      </c>
      <c r="F299" s="213" t="s">
        <v>251</v>
      </c>
      <c r="G299" s="213" t="s">
        <v>383</v>
      </c>
      <c r="H299" s="78"/>
      <c r="I299" s="92"/>
      <c r="J299" s="92"/>
      <c r="K299" s="92"/>
      <c r="L299" s="92"/>
      <c r="M299" s="229"/>
      <c r="N299" s="215">
        <f t="shared" si="4"/>
        <v>0</v>
      </c>
      <c r="O299" s="229"/>
      <c r="P299" s="211"/>
    </row>
    <row r="300" spans="1:16" s="7" customFormat="1" ht="18.75" customHeight="1">
      <c r="A300" s="228">
        <v>295</v>
      </c>
      <c r="B300" s="213" t="s">
        <v>876</v>
      </c>
      <c r="C300" s="213" t="s">
        <v>877</v>
      </c>
      <c r="D300" s="213" t="s">
        <v>878</v>
      </c>
      <c r="E300" s="213" t="s">
        <v>250</v>
      </c>
      <c r="F300" s="213" t="s">
        <v>251</v>
      </c>
      <c r="G300" s="213" t="s">
        <v>383</v>
      </c>
      <c r="H300" s="78"/>
      <c r="I300" s="92"/>
      <c r="J300" s="92"/>
      <c r="K300" s="92"/>
      <c r="L300" s="92"/>
      <c r="M300" s="229"/>
      <c r="N300" s="215">
        <f t="shared" si="4"/>
        <v>0</v>
      </c>
      <c r="O300" s="229"/>
      <c r="P300" s="211"/>
    </row>
    <row r="301" spans="1:16" s="7" customFormat="1" ht="18.75" customHeight="1">
      <c r="A301" s="228">
        <v>296</v>
      </c>
      <c r="B301" s="213" t="s">
        <v>637</v>
      </c>
      <c r="C301" s="213" t="s">
        <v>638</v>
      </c>
      <c r="D301" s="213" t="s">
        <v>395</v>
      </c>
      <c r="E301" s="213" t="s">
        <v>260</v>
      </c>
      <c r="F301" s="213" t="s">
        <v>261</v>
      </c>
      <c r="G301" s="213" t="s">
        <v>383</v>
      </c>
      <c r="H301" s="78"/>
      <c r="I301" s="92"/>
      <c r="J301" s="92"/>
      <c r="K301" s="92"/>
      <c r="L301" s="92"/>
      <c r="M301" s="229"/>
      <c r="N301" s="215">
        <f t="shared" si="4"/>
        <v>0</v>
      </c>
      <c r="O301" s="229"/>
      <c r="P301" s="211"/>
    </row>
    <row r="302" spans="1:16" s="7" customFormat="1" ht="18.75" customHeight="1">
      <c r="A302" s="228">
        <v>297</v>
      </c>
      <c r="B302" s="213" t="s">
        <v>641</v>
      </c>
      <c r="C302" s="213" t="s">
        <v>638</v>
      </c>
      <c r="D302" s="213" t="s">
        <v>395</v>
      </c>
      <c r="E302" s="213" t="s">
        <v>260</v>
      </c>
      <c r="F302" s="213" t="s">
        <v>261</v>
      </c>
      <c r="G302" s="213" t="s">
        <v>383</v>
      </c>
      <c r="H302" s="78"/>
      <c r="I302" s="92"/>
      <c r="J302" s="92"/>
      <c r="K302" s="92"/>
      <c r="L302" s="92"/>
      <c r="M302" s="229"/>
      <c r="N302" s="215">
        <f t="shared" si="4"/>
        <v>0</v>
      </c>
      <c r="O302" s="229"/>
      <c r="P302" s="211"/>
    </row>
    <row r="303" spans="1:16" s="7" customFormat="1" ht="18.75" customHeight="1">
      <c r="A303" s="228">
        <v>298</v>
      </c>
      <c r="B303" s="213" t="s">
        <v>1143</v>
      </c>
      <c r="C303" s="213" t="s">
        <v>1144</v>
      </c>
      <c r="D303" s="213" t="s">
        <v>395</v>
      </c>
      <c r="E303" s="213" t="s">
        <v>260</v>
      </c>
      <c r="F303" s="213" t="s">
        <v>261</v>
      </c>
      <c r="G303" s="213" t="s">
        <v>383</v>
      </c>
      <c r="H303" s="78"/>
      <c r="I303" s="92"/>
      <c r="J303" s="92"/>
      <c r="K303" s="92"/>
      <c r="L303" s="92"/>
      <c r="M303" s="229"/>
      <c r="N303" s="215">
        <f t="shared" si="4"/>
        <v>0</v>
      </c>
      <c r="O303" s="229"/>
      <c r="P303" s="211"/>
    </row>
    <row r="304" spans="1:16" s="7" customFormat="1" ht="18.75" customHeight="1">
      <c r="A304" s="228">
        <v>299</v>
      </c>
      <c r="B304" s="213" t="s">
        <v>1131</v>
      </c>
      <c r="C304" s="213" t="s">
        <v>1132</v>
      </c>
      <c r="D304" s="213" t="s">
        <v>1133</v>
      </c>
      <c r="E304" s="213" t="s">
        <v>271</v>
      </c>
      <c r="F304" s="213" t="s">
        <v>272</v>
      </c>
      <c r="G304" s="213" t="s">
        <v>383</v>
      </c>
      <c r="H304" s="78"/>
      <c r="I304" s="92"/>
      <c r="J304" s="92"/>
      <c r="K304" s="92"/>
      <c r="L304" s="92"/>
      <c r="M304" s="229"/>
      <c r="N304" s="215">
        <f t="shared" si="4"/>
        <v>0</v>
      </c>
      <c r="O304" s="229"/>
      <c r="P304" s="211"/>
    </row>
    <row r="305" spans="1:16" s="7" customFormat="1" ht="18.75" customHeight="1">
      <c r="A305" s="228">
        <v>300</v>
      </c>
      <c r="B305" s="213" t="s">
        <v>1199</v>
      </c>
      <c r="C305" s="213" t="s">
        <v>860</v>
      </c>
      <c r="D305" s="213" t="s">
        <v>861</v>
      </c>
      <c r="E305" s="213" t="s">
        <v>271</v>
      </c>
      <c r="F305" s="213" t="s">
        <v>272</v>
      </c>
      <c r="G305" s="213" t="s">
        <v>383</v>
      </c>
      <c r="H305" s="78"/>
      <c r="I305" s="92"/>
      <c r="J305" s="92"/>
      <c r="K305" s="92"/>
      <c r="L305" s="92"/>
      <c r="M305" s="229"/>
      <c r="N305" s="215">
        <f t="shared" si="4"/>
        <v>0</v>
      </c>
      <c r="O305" s="229"/>
      <c r="P305" s="211"/>
    </row>
    <row r="306" spans="1:16" s="7" customFormat="1" ht="18.75" customHeight="1">
      <c r="A306" s="228">
        <v>301</v>
      </c>
      <c r="B306" s="213" t="s">
        <v>978</v>
      </c>
      <c r="C306" s="213" t="s">
        <v>860</v>
      </c>
      <c r="D306" s="213" t="s">
        <v>861</v>
      </c>
      <c r="E306" s="213" t="s">
        <v>271</v>
      </c>
      <c r="F306" s="213" t="s">
        <v>272</v>
      </c>
      <c r="G306" s="213" t="s">
        <v>383</v>
      </c>
      <c r="H306" s="78"/>
      <c r="I306" s="92"/>
      <c r="J306" s="92"/>
      <c r="K306" s="92"/>
      <c r="L306" s="92"/>
      <c r="M306" s="229"/>
      <c r="N306" s="215">
        <f t="shared" si="4"/>
        <v>0</v>
      </c>
      <c r="O306" s="229"/>
      <c r="P306" s="211"/>
    </row>
    <row r="307" spans="1:16" s="7" customFormat="1" ht="18.75" customHeight="1">
      <c r="A307" s="228">
        <v>302</v>
      </c>
      <c r="B307" s="213" t="s">
        <v>979</v>
      </c>
      <c r="C307" s="213" t="s">
        <v>980</v>
      </c>
      <c r="D307" s="213" t="s">
        <v>861</v>
      </c>
      <c r="E307" s="213" t="s">
        <v>271</v>
      </c>
      <c r="F307" s="213" t="s">
        <v>272</v>
      </c>
      <c r="G307" s="213" t="s">
        <v>383</v>
      </c>
      <c r="H307" s="78"/>
      <c r="I307" s="92"/>
      <c r="J307" s="92"/>
      <c r="K307" s="92"/>
      <c r="L307" s="92"/>
      <c r="M307" s="229"/>
      <c r="N307" s="215">
        <f t="shared" si="4"/>
        <v>0</v>
      </c>
      <c r="O307" s="229"/>
      <c r="P307" s="211"/>
    </row>
    <row r="308" spans="1:16" s="7" customFormat="1" ht="18.75" customHeight="1">
      <c r="A308" s="228">
        <v>303</v>
      </c>
      <c r="B308" s="213" t="s">
        <v>871</v>
      </c>
      <c r="C308" s="213" t="s">
        <v>872</v>
      </c>
      <c r="D308" s="213" t="s">
        <v>806</v>
      </c>
      <c r="E308" s="213" t="s">
        <v>271</v>
      </c>
      <c r="F308" s="213" t="s">
        <v>272</v>
      </c>
      <c r="G308" s="213" t="s">
        <v>383</v>
      </c>
      <c r="H308" s="78"/>
      <c r="I308" s="92"/>
      <c r="J308" s="92"/>
      <c r="K308" s="92"/>
      <c r="L308" s="92"/>
      <c r="M308" s="229"/>
      <c r="N308" s="215">
        <f t="shared" si="4"/>
        <v>0</v>
      </c>
      <c r="O308" s="229"/>
      <c r="P308" s="211"/>
    </row>
    <row r="309" spans="1:16" s="7" customFormat="1" ht="18.75" customHeight="1">
      <c r="A309" s="228">
        <v>304</v>
      </c>
      <c r="B309" s="213" t="s">
        <v>804</v>
      </c>
      <c r="C309" s="213" t="s">
        <v>805</v>
      </c>
      <c r="D309" s="213" t="s">
        <v>806</v>
      </c>
      <c r="E309" s="213" t="s">
        <v>271</v>
      </c>
      <c r="F309" s="213" t="s">
        <v>272</v>
      </c>
      <c r="G309" s="213" t="s">
        <v>383</v>
      </c>
      <c r="H309" s="78"/>
      <c r="I309" s="92"/>
      <c r="J309" s="92"/>
      <c r="K309" s="92"/>
      <c r="L309" s="92"/>
      <c r="M309" s="229"/>
      <c r="N309" s="215">
        <f t="shared" si="4"/>
        <v>0</v>
      </c>
      <c r="O309" s="229"/>
      <c r="P309" s="211"/>
    </row>
    <row r="310" spans="1:16" s="7" customFormat="1" ht="18.75" customHeight="1">
      <c r="A310" s="228">
        <v>305</v>
      </c>
      <c r="B310" s="213" t="s">
        <v>1134</v>
      </c>
      <c r="C310" s="213" t="s">
        <v>1135</v>
      </c>
      <c r="D310" s="213" t="s">
        <v>806</v>
      </c>
      <c r="E310" s="213" t="s">
        <v>271</v>
      </c>
      <c r="F310" s="213" t="s">
        <v>272</v>
      </c>
      <c r="G310" s="213" t="s">
        <v>383</v>
      </c>
      <c r="H310" s="78"/>
      <c r="I310" s="92"/>
      <c r="J310" s="92"/>
      <c r="K310" s="92"/>
      <c r="L310" s="92"/>
      <c r="M310" s="229"/>
      <c r="N310" s="215">
        <f t="shared" si="4"/>
        <v>0</v>
      </c>
      <c r="O310" s="229"/>
      <c r="P310" s="211"/>
    </row>
    <row r="311" spans="1:16" s="7" customFormat="1" ht="18.75" customHeight="1">
      <c r="A311" s="228">
        <v>306</v>
      </c>
      <c r="B311" s="213" t="s">
        <v>1136</v>
      </c>
      <c r="C311" s="213" t="s">
        <v>1135</v>
      </c>
      <c r="D311" s="213" t="s">
        <v>806</v>
      </c>
      <c r="E311" s="213" t="s">
        <v>271</v>
      </c>
      <c r="F311" s="213" t="s">
        <v>272</v>
      </c>
      <c r="G311" s="213" t="s">
        <v>383</v>
      </c>
      <c r="H311" s="78"/>
      <c r="I311" s="92"/>
      <c r="J311" s="92"/>
      <c r="K311" s="92"/>
      <c r="L311" s="92"/>
      <c r="M311" s="229"/>
      <c r="N311" s="215">
        <f t="shared" si="4"/>
        <v>0</v>
      </c>
      <c r="O311" s="229"/>
      <c r="P311" s="211"/>
    </row>
    <row r="312" spans="1:16" s="7" customFormat="1" ht="18.75" customHeight="1">
      <c r="A312" s="228">
        <v>307</v>
      </c>
      <c r="B312" s="213" t="s">
        <v>1137</v>
      </c>
      <c r="C312" s="213" t="s">
        <v>1135</v>
      </c>
      <c r="D312" s="213" t="s">
        <v>806</v>
      </c>
      <c r="E312" s="213" t="s">
        <v>271</v>
      </c>
      <c r="F312" s="213" t="s">
        <v>272</v>
      </c>
      <c r="G312" s="213" t="s">
        <v>383</v>
      </c>
      <c r="H312" s="78"/>
      <c r="I312" s="92"/>
      <c r="J312" s="92"/>
      <c r="K312" s="92"/>
      <c r="L312" s="92"/>
      <c r="M312" s="229"/>
      <c r="N312" s="215">
        <f t="shared" si="4"/>
        <v>0</v>
      </c>
      <c r="O312" s="229"/>
      <c r="P312" s="211"/>
    </row>
    <row r="313" spans="1:16" s="7" customFormat="1" ht="18.75" customHeight="1">
      <c r="A313" s="228">
        <v>308</v>
      </c>
      <c r="B313" s="213" t="s">
        <v>1138</v>
      </c>
      <c r="C313" s="213" t="s">
        <v>1139</v>
      </c>
      <c r="D313" s="213" t="s">
        <v>1140</v>
      </c>
      <c r="E313" s="213" t="s">
        <v>271</v>
      </c>
      <c r="F313" s="213" t="s">
        <v>272</v>
      </c>
      <c r="G313" s="213" t="s">
        <v>383</v>
      </c>
      <c r="H313" s="78"/>
      <c r="I313" s="92"/>
      <c r="J313" s="92"/>
      <c r="K313" s="92"/>
      <c r="L313" s="92"/>
      <c r="M313" s="229"/>
      <c r="N313" s="215">
        <f t="shared" si="4"/>
        <v>0</v>
      </c>
      <c r="O313" s="229"/>
      <c r="P313" s="211"/>
    </row>
    <row r="314" spans="1:16" s="7" customFormat="1" ht="18.75" customHeight="1">
      <c r="A314" s="228">
        <v>309</v>
      </c>
      <c r="B314" s="213" t="s">
        <v>869</v>
      </c>
      <c r="C314" s="213" t="s">
        <v>870</v>
      </c>
      <c r="D314" s="213" t="s">
        <v>582</v>
      </c>
      <c r="E314" s="213" t="s">
        <v>32</v>
      </c>
      <c r="F314" s="213" t="s">
        <v>33</v>
      </c>
      <c r="G314" s="213" t="s">
        <v>389</v>
      </c>
      <c r="H314" s="78"/>
      <c r="I314" s="92"/>
      <c r="J314" s="92"/>
      <c r="K314" s="92"/>
      <c r="L314" s="92"/>
      <c r="M314" s="229"/>
      <c r="N314" s="215">
        <f t="shared" si="4"/>
        <v>0</v>
      </c>
      <c r="O314" s="229"/>
      <c r="P314" s="211"/>
    </row>
    <row r="315" spans="1:16" s="7" customFormat="1" ht="18.75" customHeight="1">
      <c r="A315" s="228">
        <v>310</v>
      </c>
      <c r="B315" s="213" t="s">
        <v>1180</v>
      </c>
      <c r="C315" s="213" t="s">
        <v>1012</v>
      </c>
      <c r="D315" s="213" t="s">
        <v>1012</v>
      </c>
      <c r="E315" s="213" t="s">
        <v>32</v>
      </c>
      <c r="F315" s="213" t="s">
        <v>33</v>
      </c>
      <c r="G315" s="213" t="s">
        <v>389</v>
      </c>
      <c r="H315" s="78"/>
      <c r="I315" s="92"/>
      <c r="J315" s="92"/>
      <c r="K315" s="92"/>
      <c r="L315" s="92"/>
      <c r="M315" s="229"/>
      <c r="N315" s="215">
        <f t="shared" si="4"/>
        <v>0</v>
      </c>
      <c r="O315" s="229"/>
      <c r="P315" s="211"/>
    </row>
    <row r="316" spans="1:16" s="7" customFormat="1" ht="18.75" customHeight="1">
      <c r="A316" s="228">
        <v>311</v>
      </c>
      <c r="B316" s="213" t="s">
        <v>1051</v>
      </c>
      <c r="C316" s="213" t="s">
        <v>844</v>
      </c>
      <c r="D316" s="213" t="s">
        <v>847</v>
      </c>
      <c r="E316" s="213" t="s">
        <v>192</v>
      </c>
      <c r="F316" s="213" t="s">
        <v>193</v>
      </c>
      <c r="G316" s="213" t="s">
        <v>389</v>
      </c>
      <c r="H316" s="78"/>
      <c r="I316" s="92"/>
      <c r="J316" s="92"/>
      <c r="K316" s="92"/>
      <c r="L316" s="92"/>
      <c r="M316" s="229"/>
      <c r="N316" s="215">
        <f t="shared" si="4"/>
        <v>0</v>
      </c>
      <c r="O316" s="229"/>
      <c r="P316" s="211"/>
    </row>
    <row r="317" spans="1:16" s="7" customFormat="1" ht="18.75" customHeight="1">
      <c r="A317" s="228">
        <v>312</v>
      </c>
      <c r="B317" s="213" t="s">
        <v>845</v>
      </c>
      <c r="C317" s="213" t="s">
        <v>846</v>
      </c>
      <c r="D317" s="213" t="s">
        <v>847</v>
      </c>
      <c r="E317" s="213" t="s">
        <v>192</v>
      </c>
      <c r="F317" s="213" t="s">
        <v>193</v>
      </c>
      <c r="G317" s="213" t="s">
        <v>389</v>
      </c>
      <c r="H317" s="78"/>
      <c r="I317" s="92"/>
      <c r="J317" s="92"/>
      <c r="K317" s="92"/>
      <c r="L317" s="92"/>
      <c r="M317" s="229"/>
      <c r="N317" s="215">
        <f t="shared" si="4"/>
        <v>0</v>
      </c>
      <c r="O317" s="229"/>
      <c r="P317" s="211"/>
    </row>
    <row r="318" spans="1:16" s="7" customFormat="1" ht="18.75" customHeight="1">
      <c r="A318" s="228">
        <v>313</v>
      </c>
      <c r="B318" s="213" t="s">
        <v>1200</v>
      </c>
      <c r="C318" s="213" t="s">
        <v>848</v>
      </c>
      <c r="D318" s="213" t="s">
        <v>395</v>
      </c>
      <c r="E318" s="213" t="s">
        <v>192</v>
      </c>
      <c r="F318" s="213" t="s">
        <v>193</v>
      </c>
      <c r="G318" s="213" t="s">
        <v>389</v>
      </c>
      <c r="H318" s="78"/>
      <c r="I318" s="92"/>
      <c r="J318" s="92"/>
      <c r="K318" s="92"/>
      <c r="L318" s="92"/>
      <c r="M318" s="229"/>
      <c r="N318" s="215">
        <f t="shared" si="4"/>
        <v>0</v>
      </c>
      <c r="O318" s="229"/>
      <c r="P318" s="211"/>
    </row>
    <row r="319" spans="1:16" s="7" customFormat="1" ht="18.75" customHeight="1">
      <c r="A319" s="228">
        <v>314</v>
      </c>
      <c r="B319" s="213" t="s">
        <v>521</v>
      </c>
      <c r="C319" s="213" t="s">
        <v>522</v>
      </c>
      <c r="D319" s="213" t="s">
        <v>523</v>
      </c>
      <c r="E319" s="213" t="s">
        <v>192</v>
      </c>
      <c r="F319" s="213" t="s">
        <v>193</v>
      </c>
      <c r="G319" s="213" t="s">
        <v>389</v>
      </c>
      <c r="H319" s="78"/>
      <c r="I319" s="92"/>
      <c r="J319" s="92"/>
      <c r="K319" s="92"/>
      <c r="L319" s="92"/>
      <c r="M319" s="229"/>
      <c r="N319" s="215">
        <f t="shared" si="4"/>
        <v>0</v>
      </c>
      <c r="O319" s="229"/>
      <c r="P319" s="211"/>
    </row>
    <row r="320" spans="1:16" s="7" customFormat="1" ht="18.75" customHeight="1">
      <c r="A320" s="228">
        <v>315</v>
      </c>
      <c r="B320" s="213" t="s">
        <v>1099</v>
      </c>
      <c r="C320" s="213" t="s">
        <v>1100</v>
      </c>
      <c r="D320" s="213" t="s">
        <v>395</v>
      </c>
      <c r="E320" s="213" t="s">
        <v>167</v>
      </c>
      <c r="F320" s="213" t="s">
        <v>168</v>
      </c>
      <c r="G320" s="213" t="s">
        <v>379</v>
      </c>
      <c r="H320" s="78"/>
      <c r="I320" s="92"/>
      <c r="J320" s="92"/>
      <c r="K320" s="92"/>
      <c r="L320" s="92"/>
      <c r="M320" s="229"/>
      <c r="N320" s="215">
        <f t="shared" si="4"/>
        <v>0</v>
      </c>
      <c r="O320" s="229"/>
      <c r="P320" s="211"/>
    </row>
    <row r="321" spans="1:16" s="7" customFormat="1" ht="18.75" customHeight="1">
      <c r="A321" s="228">
        <v>316</v>
      </c>
      <c r="B321" s="213" t="s">
        <v>1097</v>
      </c>
      <c r="C321" s="213" t="s">
        <v>1098</v>
      </c>
      <c r="D321" s="213" t="s">
        <v>1096</v>
      </c>
      <c r="E321" s="213" t="s">
        <v>167</v>
      </c>
      <c r="F321" s="213" t="s">
        <v>168</v>
      </c>
      <c r="G321" s="213" t="s">
        <v>379</v>
      </c>
      <c r="H321" s="78"/>
      <c r="I321" s="92"/>
      <c r="J321" s="92"/>
      <c r="K321" s="92"/>
      <c r="L321" s="92"/>
      <c r="M321" s="229"/>
      <c r="N321" s="215">
        <f t="shared" si="4"/>
        <v>0</v>
      </c>
      <c r="O321" s="229"/>
      <c r="P321" s="211"/>
    </row>
    <row r="322" spans="1:16" s="7" customFormat="1" ht="18.75" customHeight="1">
      <c r="A322" s="228">
        <v>317</v>
      </c>
      <c r="B322" s="213" t="s">
        <v>1094</v>
      </c>
      <c r="C322" s="213" t="s">
        <v>1095</v>
      </c>
      <c r="D322" s="213" t="s">
        <v>1096</v>
      </c>
      <c r="E322" s="213" t="s">
        <v>167</v>
      </c>
      <c r="F322" s="213" t="s">
        <v>168</v>
      </c>
      <c r="G322" s="213" t="s">
        <v>379</v>
      </c>
      <c r="H322" s="78"/>
      <c r="I322" s="92"/>
      <c r="J322" s="92"/>
      <c r="K322" s="92"/>
      <c r="L322" s="92"/>
      <c r="M322" s="229"/>
      <c r="N322" s="215">
        <f t="shared" si="4"/>
        <v>0</v>
      </c>
      <c r="O322" s="229"/>
      <c r="P322" s="211"/>
    </row>
    <row r="323" spans="1:16" s="7" customFormat="1" ht="18.75" customHeight="1">
      <c r="A323" s="228">
        <v>318</v>
      </c>
      <c r="B323" s="213" t="s">
        <v>1091</v>
      </c>
      <c r="C323" s="213" t="s">
        <v>1092</v>
      </c>
      <c r="D323" s="213" t="s">
        <v>1093</v>
      </c>
      <c r="E323" s="213" t="s">
        <v>167</v>
      </c>
      <c r="F323" s="213" t="s">
        <v>168</v>
      </c>
      <c r="G323" s="213" t="s">
        <v>379</v>
      </c>
      <c r="H323" s="78"/>
      <c r="I323" s="92"/>
      <c r="J323" s="92"/>
      <c r="K323" s="92"/>
      <c r="L323" s="92"/>
      <c r="M323" s="229"/>
      <c r="N323" s="215">
        <f t="shared" si="4"/>
        <v>0</v>
      </c>
      <c r="O323" s="229"/>
      <c r="P323" s="211"/>
    </row>
    <row r="324" spans="1:16" s="7" customFormat="1" ht="18.75" customHeight="1">
      <c r="A324" s="228">
        <v>319</v>
      </c>
      <c r="B324" s="213" t="s">
        <v>1089</v>
      </c>
      <c r="C324" s="213" t="s">
        <v>605</v>
      </c>
      <c r="D324" s="213" t="s">
        <v>1090</v>
      </c>
      <c r="E324" s="213" t="s">
        <v>167</v>
      </c>
      <c r="F324" s="213" t="s">
        <v>168</v>
      </c>
      <c r="G324" s="213" t="s">
        <v>379</v>
      </c>
      <c r="H324" s="78"/>
      <c r="I324" s="92"/>
      <c r="J324" s="92"/>
      <c r="K324" s="92"/>
      <c r="L324" s="92"/>
      <c r="M324" s="229"/>
      <c r="N324" s="215">
        <f t="shared" si="4"/>
        <v>0</v>
      </c>
      <c r="O324" s="229"/>
      <c r="P324" s="211"/>
    </row>
    <row r="325" spans="1:16" s="7" customFormat="1" ht="18.75" customHeight="1">
      <c r="A325" s="228">
        <v>320</v>
      </c>
      <c r="B325" s="213" t="s">
        <v>1108</v>
      </c>
      <c r="C325" s="213" t="s">
        <v>1109</v>
      </c>
      <c r="D325" s="213" t="s">
        <v>1110</v>
      </c>
      <c r="E325" s="213" t="s">
        <v>239</v>
      </c>
      <c r="F325" s="213" t="s">
        <v>204</v>
      </c>
      <c r="G325" s="213" t="s">
        <v>379</v>
      </c>
      <c r="H325" s="78"/>
      <c r="I325" s="92"/>
      <c r="J325" s="92"/>
      <c r="K325" s="92"/>
      <c r="L325" s="92"/>
      <c r="M325" s="229"/>
      <c r="N325" s="215">
        <f t="shared" si="4"/>
        <v>0</v>
      </c>
      <c r="O325" s="229"/>
      <c r="P325" s="211"/>
    </row>
    <row r="326" spans="1:16" s="7" customFormat="1" ht="18.75" customHeight="1">
      <c r="A326" s="228">
        <v>321</v>
      </c>
      <c r="B326" s="213" t="s">
        <v>919</v>
      </c>
      <c r="C326" s="213" t="s">
        <v>920</v>
      </c>
      <c r="D326" s="213" t="s">
        <v>395</v>
      </c>
      <c r="E326" s="213" t="s">
        <v>239</v>
      </c>
      <c r="F326" s="213" t="s">
        <v>204</v>
      </c>
      <c r="G326" s="213" t="s">
        <v>379</v>
      </c>
      <c r="H326" s="78"/>
      <c r="I326" s="92"/>
      <c r="J326" s="92"/>
      <c r="K326" s="92"/>
      <c r="L326" s="92"/>
      <c r="M326" s="229"/>
      <c r="N326" s="215">
        <f t="shared" si="4"/>
        <v>0</v>
      </c>
      <c r="O326" s="229"/>
      <c r="P326" s="211"/>
    </row>
    <row r="327" spans="1:16" s="7" customFormat="1" ht="18.75" customHeight="1">
      <c r="A327" s="228">
        <v>322</v>
      </c>
      <c r="B327" s="213" t="s">
        <v>1104</v>
      </c>
      <c r="C327" s="213" t="s">
        <v>1105</v>
      </c>
      <c r="D327" s="213" t="s">
        <v>961</v>
      </c>
      <c r="E327" s="213" t="s">
        <v>239</v>
      </c>
      <c r="F327" s="213" t="s">
        <v>204</v>
      </c>
      <c r="G327" s="213" t="s">
        <v>379</v>
      </c>
      <c r="H327" s="78"/>
      <c r="I327" s="92"/>
      <c r="J327" s="92"/>
      <c r="K327" s="92"/>
      <c r="L327" s="92"/>
      <c r="M327" s="229"/>
      <c r="N327" s="215">
        <f t="shared" ref="N327:N346" si="5">SUM(I327:M327)</f>
        <v>0</v>
      </c>
      <c r="O327" s="229"/>
      <c r="P327" s="211"/>
    </row>
    <row r="328" spans="1:16" s="7" customFormat="1" ht="18.75" customHeight="1">
      <c r="A328" s="228">
        <v>323</v>
      </c>
      <c r="B328" s="213" t="s">
        <v>959</v>
      </c>
      <c r="C328" s="213" t="s">
        <v>960</v>
      </c>
      <c r="D328" s="213" t="s">
        <v>961</v>
      </c>
      <c r="E328" s="213" t="s">
        <v>239</v>
      </c>
      <c r="F328" s="213" t="s">
        <v>204</v>
      </c>
      <c r="G328" s="213" t="s">
        <v>379</v>
      </c>
      <c r="H328" s="78"/>
      <c r="I328" s="92"/>
      <c r="J328" s="92"/>
      <c r="K328" s="92"/>
      <c r="L328" s="92"/>
      <c r="M328" s="229"/>
      <c r="N328" s="215">
        <f t="shared" si="5"/>
        <v>0</v>
      </c>
      <c r="O328" s="229"/>
      <c r="P328" s="211"/>
    </row>
    <row r="329" spans="1:16" s="7" customFormat="1" ht="18.75" customHeight="1">
      <c r="A329" s="228">
        <v>324</v>
      </c>
      <c r="B329" s="213" t="s">
        <v>1106</v>
      </c>
      <c r="C329" s="213" t="s">
        <v>1107</v>
      </c>
      <c r="D329" s="213" t="s">
        <v>961</v>
      </c>
      <c r="E329" s="213" t="s">
        <v>239</v>
      </c>
      <c r="F329" s="213" t="s">
        <v>204</v>
      </c>
      <c r="G329" s="213" t="s">
        <v>379</v>
      </c>
      <c r="H329" s="78"/>
      <c r="I329" s="92"/>
      <c r="J329" s="92"/>
      <c r="K329" s="92"/>
      <c r="L329" s="92"/>
      <c r="M329" s="229"/>
      <c r="N329" s="215">
        <f t="shared" si="5"/>
        <v>0</v>
      </c>
      <c r="O329" s="229"/>
      <c r="P329" s="211"/>
    </row>
    <row r="330" spans="1:16" s="7" customFormat="1" ht="18.75" customHeight="1">
      <c r="A330" s="228">
        <v>325</v>
      </c>
      <c r="B330" s="213" t="s">
        <v>1101</v>
      </c>
      <c r="C330" s="213" t="s">
        <v>1102</v>
      </c>
      <c r="D330" s="213" t="s">
        <v>1103</v>
      </c>
      <c r="E330" s="213" t="s">
        <v>239</v>
      </c>
      <c r="F330" s="213" t="s">
        <v>204</v>
      </c>
      <c r="G330" s="213" t="s">
        <v>379</v>
      </c>
      <c r="H330" s="78"/>
      <c r="I330" s="92"/>
      <c r="J330" s="92"/>
      <c r="K330" s="92"/>
      <c r="L330" s="92"/>
      <c r="M330" s="229"/>
      <c r="N330" s="215">
        <f t="shared" si="5"/>
        <v>0</v>
      </c>
      <c r="O330" s="229"/>
      <c r="P330" s="211"/>
    </row>
    <row r="331" spans="1:16" s="7" customFormat="1" ht="18.75" customHeight="1">
      <c r="A331" s="228">
        <v>326</v>
      </c>
      <c r="B331" s="213" t="s">
        <v>1084</v>
      </c>
      <c r="C331" s="213" t="s">
        <v>1085</v>
      </c>
      <c r="D331" s="213" t="s">
        <v>1085</v>
      </c>
      <c r="E331" s="213" t="s">
        <v>202</v>
      </c>
      <c r="F331" s="213" t="s">
        <v>203</v>
      </c>
      <c r="G331" s="213" t="s">
        <v>378</v>
      </c>
      <c r="H331" s="78"/>
      <c r="I331" s="92"/>
      <c r="J331" s="92"/>
      <c r="K331" s="92"/>
      <c r="L331" s="92"/>
      <c r="M331" s="229"/>
      <c r="N331" s="215">
        <f t="shared" si="5"/>
        <v>0</v>
      </c>
      <c r="O331" s="229"/>
      <c r="P331" s="211"/>
    </row>
    <row r="332" spans="1:16" s="7" customFormat="1" ht="18.75" customHeight="1">
      <c r="A332" s="228">
        <v>327</v>
      </c>
      <c r="B332" s="213" t="s">
        <v>740</v>
      </c>
      <c r="C332" s="213" t="s">
        <v>741</v>
      </c>
      <c r="D332" s="213" t="s">
        <v>742</v>
      </c>
      <c r="E332" s="213" t="s">
        <v>202</v>
      </c>
      <c r="F332" s="213" t="s">
        <v>203</v>
      </c>
      <c r="G332" s="213" t="s">
        <v>378</v>
      </c>
      <c r="H332" s="78"/>
      <c r="I332" s="92"/>
      <c r="J332" s="92"/>
      <c r="K332" s="92"/>
      <c r="L332" s="92"/>
      <c r="M332" s="229"/>
      <c r="N332" s="215">
        <f t="shared" si="5"/>
        <v>0</v>
      </c>
      <c r="O332" s="229"/>
      <c r="P332" s="211"/>
    </row>
    <row r="333" spans="1:16" s="7" customFormat="1" ht="18.75" customHeight="1">
      <c r="A333" s="228">
        <v>328</v>
      </c>
      <c r="B333" s="213" t="s">
        <v>906</v>
      </c>
      <c r="C333" s="213" t="s">
        <v>907</v>
      </c>
      <c r="D333" s="213" t="s">
        <v>395</v>
      </c>
      <c r="E333" s="213" t="s">
        <v>202</v>
      </c>
      <c r="F333" s="213" t="s">
        <v>203</v>
      </c>
      <c r="G333" s="213" t="s">
        <v>378</v>
      </c>
      <c r="H333" s="78"/>
      <c r="I333" s="92"/>
      <c r="J333" s="92"/>
      <c r="K333" s="92"/>
      <c r="L333" s="92"/>
      <c r="M333" s="229"/>
      <c r="N333" s="215">
        <f t="shared" si="5"/>
        <v>0</v>
      </c>
      <c r="O333" s="229"/>
      <c r="P333" s="211"/>
    </row>
    <row r="334" spans="1:16" s="7" customFormat="1" ht="18.75" customHeight="1">
      <c r="A334" s="228">
        <v>329</v>
      </c>
      <c r="B334" s="213" t="s">
        <v>762</v>
      </c>
      <c r="C334" s="213" t="s">
        <v>763</v>
      </c>
      <c r="D334" s="213" t="s">
        <v>764</v>
      </c>
      <c r="E334" s="213" t="s">
        <v>202</v>
      </c>
      <c r="F334" s="213" t="s">
        <v>203</v>
      </c>
      <c r="G334" s="213" t="s">
        <v>378</v>
      </c>
      <c r="H334" s="78"/>
      <c r="I334" s="92"/>
      <c r="J334" s="92"/>
      <c r="K334" s="92"/>
      <c r="L334" s="92"/>
      <c r="M334" s="229"/>
      <c r="N334" s="215">
        <f t="shared" si="5"/>
        <v>0</v>
      </c>
      <c r="O334" s="229"/>
      <c r="P334" s="211"/>
    </row>
    <row r="335" spans="1:16" s="7" customFormat="1" ht="18.75" customHeight="1">
      <c r="A335" s="228">
        <v>330</v>
      </c>
      <c r="B335" s="213" t="s">
        <v>735</v>
      </c>
      <c r="C335" s="213" t="s">
        <v>736</v>
      </c>
      <c r="D335" s="213" t="s">
        <v>736</v>
      </c>
      <c r="E335" s="213" t="s">
        <v>202</v>
      </c>
      <c r="F335" s="213" t="s">
        <v>203</v>
      </c>
      <c r="G335" s="213" t="s">
        <v>378</v>
      </c>
      <c r="H335" s="78"/>
      <c r="I335" s="92"/>
      <c r="J335" s="92"/>
      <c r="K335" s="92"/>
      <c r="L335" s="92"/>
      <c r="M335" s="229"/>
      <c r="N335" s="215">
        <f t="shared" si="5"/>
        <v>0</v>
      </c>
      <c r="O335" s="229"/>
      <c r="P335" s="211"/>
    </row>
    <row r="336" spans="1:16" s="7" customFormat="1" ht="18.75" customHeight="1">
      <c r="A336" s="228">
        <v>331</v>
      </c>
      <c r="B336" s="213" t="s">
        <v>1201</v>
      </c>
      <c r="C336" s="213" t="s">
        <v>918</v>
      </c>
      <c r="D336" s="213" t="s">
        <v>736</v>
      </c>
      <c r="E336" s="213" t="s">
        <v>202</v>
      </c>
      <c r="F336" s="213" t="s">
        <v>203</v>
      </c>
      <c r="G336" s="213" t="s">
        <v>378</v>
      </c>
      <c r="H336" s="78"/>
      <c r="I336" s="92"/>
      <c r="J336" s="92"/>
      <c r="K336" s="92"/>
      <c r="L336" s="92"/>
      <c r="M336" s="229"/>
      <c r="N336" s="215">
        <f t="shared" si="5"/>
        <v>0</v>
      </c>
      <c r="O336" s="229"/>
      <c r="P336" s="211"/>
    </row>
    <row r="337" spans="1:16" s="7" customFormat="1" ht="18.75" customHeight="1">
      <c r="A337" s="228">
        <v>332</v>
      </c>
      <c r="B337" s="213" t="s">
        <v>900</v>
      </c>
      <c r="C337" s="213" t="s">
        <v>901</v>
      </c>
      <c r="D337" s="213" t="s">
        <v>902</v>
      </c>
      <c r="E337" s="213" t="s">
        <v>202</v>
      </c>
      <c r="F337" s="213" t="s">
        <v>203</v>
      </c>
      <c r="G337" s="213" t="s">
        <v>378</v>
      </c>
      <c r="H337" s="78"/>
      <c r="I337" s="92"/>
      <c r="J337" s="92"/>
      <c r="K337" s="92"/>
      <c r="L337" s="92"/>
      <c r="M337" s="229"/>
      <c r="N337" s="215">
        <f t="shared" si="5"/>
        <v>0</v>
      </c>
      <c r="O337" s="229"/>
      <c r="P337" s="211"/>
    </row>
    <row r="338" spans="1:16" s="7" customFormat="1" ht="18.75" customHeight="1">
      <c r="A338" s="228">
        <v>333</v>
      </c>
      <c r="B338" s="213" t="s">
        <v>950</v>
      </c>
      <c r="C338" s="213" t="s">
        <v>951</v>
      </c>
      <c r="D338" s="213" t="s">
        <v>952</v>
      </c>
      <c r="E338" s="213" t="s">
        <v>202</v>
      </c>
      <c r="F338" s="213" t="s">
        <v>203</v>
      </c>
      <c r="G338" s="213" t="s">
        <v>378</v>
      </c>
      <c r="H338" s="78"/>
      <c r="I338" s="92"/>
      <c r="J338" s="92"/>
      <c r="K338" s="92"/>
      <c r="L338" s="92"/>
      <c r="M338" s="229"/>
      <c r="N338" s="215">
        <f t="shared" si="5"/>
        <v>0</v>
      </c>
      <c r="O338" s="229"/>
      <c r="P338" s="211"/>
    </row>
    <row r="339" spans="1:16" s="7" customFormat="1" ht="18.75" customHeight="1">
      <c r="A339" s="228">
        <v>334</v>
      </c>
      <c r="B339" s="213" t="s">
        <v>1082</v>
      </c>
      <c r="C339" s="213" t="s">
        <v>1083</v>
      </c>
      <c r="D339" s="213" t="s">
        <v>952</v>
      </c>
      <c r="E339" s="213" t="s">
        <v>202</v>
      </c>
      <c r="F339" s="213" t="s">
        <v>203</v>
      </c>
      <c r="G339" s="213" t="s">
        <v>378</v>
      </c>
      <c r="H339" s="78"/>
      <c r="I339" s="92"/>
      <c r="J339" s="92"/>
      <c r="K339" s="92"/>
      <c r="L339" s="92"/>
      <c r="M339" s="229"/>
      <c r="N339" s="215">
        <f t="shared" si="5"/>
        <v>0</v>
      </c>
      <c r="O339" s="229"/>
      <c r="P339" s="211"/>
    </row>
    <row r="340" spans="1:16" s="7" customFormat="1" ht="18.75" customHeight="1">
      <c r="A340" s="228">
        <v>335</v>
      </c>
      <c r="B340" s="213" t="s">
        <v>768</v>
      </c>
      <c r="C340" s="213" t="s">
        <v>769</v>
      </c>
      <c r="D340" s="213" t="s">
        <v>770</v>
      </c>
      <c r="E340" s="213" t="s">
        <v>202</v>
      </c>
      <c r="F340" s="213" t="s">
        <v>203</v>
      </c>
      <c r="G340" s="213" t="s">
        <v>378</v>
      </c>
      <c r="H340" s="78"/>
      <c r="I340" s="92"/>
      <c r="J340" s="92"/>
      <c r="K340" s="92"/>
      <c r="L340" s="92"/>
      <c r="M340" s="229"/>
      <c r="N340" s="215">
        <f>SUM(I340:M340)</f>
        <v>0</v>
      </c>
      <c r="O340" s="229"/>
      <c r="P340" s="211"/>
    </row>
    <row r="341" spans="1:16" s="7" customFormat="1" ht="18.75" customHeight="1">
      <c r="A341" s="228">
        <v>336</v>
      </c>
      <c r="B341" s="213" t="s">
        <v>771</v>
      </c>
      <c r="C341" s="213" t="s">
        <v>772</v>
      </c>
      <c r="D341" s="213" t="s">
        <v>770</v>
      </c>
      <c r="E341" s="213" t="s">
        <v>202</v>
      </c>
      <c r="F341" s="213" t="s">
        <v>203</v>
      </c>
      <c r="G341" s="213" t="s">
        <v>378</v>
      </c>
      <c r="H341" s="78"/>
      <c r="I341" s="92"/>
      <c r="J341" s="92"/>
      <c r="K341" s="92"/>
      <c r="L341" s="92"/>
      <c r="M341" s="229"/>
      <c r="N341" s="215">
        <f t="shared" si="5"/>
        <v>0</v>
      </c>
      <c r="O341" s="229"/>
      <c r="P341" s="211"/>
    </row>
    <row r="342" spans="1:16" s="7" customFormat="1" ht="18.75" customHeight="1">
      <c r="A342" s="228">
        <v>337</v>
      </c>
      <c r="B342" s="213" t="s">
        <v>775</v>
      </c>
      <c r="C342" s="213" t="s">
        <v>776</v>
      </c>
      <c r="D342" s="213" t="s">
        <v>770</v>
      </c>
      <c r="E342" s="213" t="s">
        <v>202</v>
      </c>
      <c r="F342" s="213" t="s">
        <v>203</v>
      </c>
      <c r="G342" s="213" t="s">
        <v>378</v>
      </c>
      <c r="H342" s="78"/>
      <c r="I342" s="92"/>
      <c r="J342" s="92"/>
      <c r="K342" s="92"/>
      <c r="L342" s="92"/>
      <c r="M342" s="229"/>
      <c r="N342" s="215">
        <f t="shared" si="5"/>
        <v>0</v>
      </c>
      <c r="O342" s="229"/>
      <c r="P342" s="211"/>
    </row>
    <row r="343" spans="1:16" s="7" customFormat="1" ht="18.75" customHeight="1">
      <c r="A343" s="228">
        <v>338</v>
      </c>
      <c r="B343" s="213" t="s">
        <v>773</v>
      </c>
      <c r="C343" s="213" t="s">
        <v>774</v>
      </c>
      <c r="D343" s="213" t="s">
        <v>770</v>
      </c>
      <c r="E343" s="213" t="s">
        <v>202</v>
      </c>
      <c r="F343" s="213" t="s">
        <v>203</v>
      </c>
      <c r="G343" s="213" t="s">
        <v>378</v>
      </c>
      <c r="H343" s="78"/>
      <c r="I343" s="92"/>
      <c r="J343" s="92"/>
      <c r="K343" s="92"/>
      <c r="L343" s="92"/>
      <c r="M343" s="229"/>
      <c r="N343" s="215">
        <f t="shared" si="5"/>
        <v>0</v>
      </c>
      <c r="O343" s="229"/>
      <c r="P343" s="211"/>
    </row>
    <row r="344" spans="1:16" s="7" customFormat="1" ht="18.75" customHeight="1">
      <c r="A344" s="228">
        <v>339</v>
      </c>
      <c r="B344" s="213" t="s">
        <v>957</v>
      </c>
      <c r="C344" s="213" t="s">
        <v>958</v>
      </c>
      <c r="D344" s="213" t="s">
        <v>958</v>
      </c>
      <c r="E344" s="213" t="s">
        <v>109</v>
      </c>
      <c r="F344" s="213" t="s">
        <v>110</v>
      </c>
      <c r="G344" s="213" t="s">
        <v>381</v>
      </c>
      <c r="H344" s="78"/>
      <c r="I344" s="92"/>
      <c r="J344" s="92"/>
      <c r="K344" s="92"/>
      <c r="L344" s="92"/>
      <c r="M344" s="229"/>
      <c r="N344" s="215">
        <f t="shared" si="5"/>
        <v>0</v>
      </c>
      <c r="O344" s="229"/>
      <c r="P344" s="211"/>
    </row>
    <row r="345" spans="1:16" s="7" customFormat="1" ht="18.75" customHeight="1">
      <c r="A345" s="228">
        <v>340</v>
      </c>
      <c r="B345" s="213" t="s">
        <v>1111</v>
      </c>
      <c r="C345" s="213" t="s">
        <v>1112</v>
      </c>
      <c r="D345" s="213" t="s">
        <v>1113</v>
      </c>
      <c r="E345" s="213" t="s">
        <v>83</v>
      </c>
      <c r="F345" s="213" t="s">
        <v>84</v>
      </c>
      <c r="G345" s="213" t="s">
        <v>1189</v>
      </c>
      <c r="H345" s="78"/>
      <c r="I345" s="92"/>
      <c r="J345" s="92"/>
      <c r="K345" s="92"/>
      <c r="L345" s="92"/>
      <c r="M345" s="229"/>
      <c r="N345" s="215">
        <f t="shared" si="5"/>
        <v>0</v>
      </c>
      <c r="O345" s="229"/>
      <c r="P345" s="211"/>
    </row>
    <row r="346" spans="1:16" s="7" customFormat="1" ht="18.75" customHeight="1">
      <c r="A346" s="230">
        <v>341</v>
      </c>
      <c r="B346" s="231" t="s">
        <v>501</v>
      </c>
      <c r="C346" s="231" t="s">
        <v>1114</v>
      </c>
      <c r="D346" s="231" t="s">
        <v>1113</v>
      </c>
      <c r="E346" s="231" t="s">
        <v>83</v>
      </c>
      <c r="F346" s="231" t="s">
        <v>84</v>
      </c>
      <c r="G346" s="231" t="s">
        <v>1189</v>
      </c>
      <c r="H346" s="232"/>
      <c r="I346" s="233"/>
      <c r="J346" s="233"/>
      <c r="K346" s="233"/>
      <c r="L346" s="233"/>
      <c r="M346" s="234"/>
      <c r="N346" s="216">
        <f t="shared" si="5"/>
        <v>0</v>
      </c>
      <c r="O346" s="234"/>
      <c r="P346" s="211"/>
    </row>
    <row r="347" spans="1:16" s="65" customFormat="1">
      <c r="A347" s="247" t="s">
        <v>9</v>
      </c>
      <c r="B347" s="248"/>
      <c r="C347" s="248"/>
      <c r="D347" s="248"/>
      <c r="E347" s="248"/>
      <c r="F347" s="248"/>
      <c r="G347" s="249"/>
      <c r="H347" s="235">
        <f>SUM(H6:H346)</f>
        <v>0</v>
      </c>
      <c r="I347" s="235">
        <f t="shared" ref="I347:M347" si="6">SUM(I6:I346)</f>
        <v>0</v>
      </c>
      <c r="J347" s="235">
        <f t="shared" si="6"/>
        <v>0</v>
      </c>
      <c r="K347" s="235">
        <f t="shared" si="6"/>
        <v>0</v>
      </c>
      <c r="L347" s="235">
        <f>SUM(L6:L346)</f>
        <v>0</v>
      </c>
      <c r="M347" s="235">
        <f t="shared" si="6"/>
        <v>0</v>
      </c>
      <c r="N347" s="217">
        <f>SUM(I347:M347)</f>
        <v>0</v>
      </c>
      <c r="O347" s="236"/>
      <c r="P347" s="212"/>
    </row>
    <row r="348" spans="1:16" s="3" customFormat="1">
      <c r="B348" s="66"/>
      <c r="C348" s="66"/>
      <c r="D348" s="66"/>
      <c r="E348" s="66"/>
      <c r="F348" s="66"/>
      <c r="G348" s="66"/>
      <c r="H348" s="66"/>
      <c r="I348" s="68"/>
      <c r="J348" s="68"/>
      <c r="K348" s="68"/>
      <c r="L348" s="68"/>
      <c r="M348" s="68"/>
      <c r="N348" s="68"/>
      <c r="O348" s="68"/>
      <c r="P348" s="68"/>
    </row>
    <row r="349" spans="1:16" s="3" customFormat="1">
      <c r="B349" s="66"/>
      <c r="C349" s="66"/>
      <c r="D349" s="66"/>
      <c r="E349" s="66"/>
      <c r="F349" s="66"/>
      <c r="G349" s="66"/>
      <c r="H349" s="66"/>
      <c r="I349" s="67"/>
      <c r="J349" s="67"/>
      <c r="K349" s="67"/>
      <c r="L349" s="67"/>
      <c r="M349" s="67"/>
      <c r="N349" s="67"/>
      <c r="O349" s="67"/>
      <c r="P349" s="67"/>
    </row>
    <row r="350" spans="1:16">
      <c r="I350" s="195"/>
      <c r="J350" s="195"/>
      <c r="K350" s="195"/>
      <c r="L350" s="195"/>
      <c r="M350" s="195"/>
      <c r="N350" s="195"/>
      <c r="O350" s="195"/>
      <c r="P350" s="195"/>
    </row>
    <row r="351" spans="1:16">
      <c r="I351" s="195"/>
      <c r="J351" s="195"/>
      <c r="K351" s="195"/>
      <c r="L351" s="195"/>
      <c r="M351" s="195"/>
      <c r="N351" s="195"/>
      <c r="O351" s="195"/>
      <c r="P351" s="195"/>
    </row>
    <row r="352" spans="1:16">
      <c r="I352" s="195"/>
      <c r="J352" s="195"/>
      <c r="K352" s="195"/>
      <c r="L352" s="195"/>
      <c r="M352" s="195"/>
      <c r="N352" s="195"/>
      <c r="O352" s="195"/>
      <c r="P352" s="195"/>
    </row>
    <row r="354" spans="2:16">
      <c r="B354" s="195"/>
      <c r="C354" s="195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</row>
    <row r="355" spans="2:16">
      <c r="B355" s="195"/>
      <c r="C355" s="195"/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</row>
  </sheetData>
  <sortState ref="B6:I346">
    <sortCondition ref="G6:G346"/>
  </sortState>
  <mergeCells count="6">
    <mergeCell ref="A347:G347"/>
    <mergeCell ref="A1:O1"/>
    <mergeCell ref="I3:N3"/>
    <mergeCell ref="O3:O5"/>
    <mergeCell ref="C3:F3"/>
    <mergeCell ref="I4:N4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4" fitToHeight="0" orientation="landscape" r:id="rId1"/>
  <headerFooter alignWithMargins="0"/>
  <rowBreaks count="5" manualBreakCount="5">
    <brk id="83" max="14" man="1"/>
    <brk id="123" max="14" man="1"/>
    <brk id="163" max="14" man="1"/>
    <brk id="243" max="14" man="1"/>
    <brk id="28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showGridLines="0" tabSelected="1" view="pageBreakPreview" zoomScaleNormal="70" zoomScaleSheetLayoutView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E16" sqref="E16"/>
    </sheetView>
  </sheetViews>
  <sheetFormatPr defaultColWidth="9.140625" defaultRowHeight="21.75"/>
  <cols>
    <col min="1" max="1" width="3.7109375" style="2" bestFit="1" customWidth="1"/>
    <col min="2" max="2" width="17.28515625" style="1" bestFit="1" customWidth="1"/>
    <col min="3" max="3" width="10.28515625" style="1" customWidth="1"/>
    <col min="4" max="4" width="5.42578125" style="1" bestFit="1" customWidth="1"/>
    <col min="5" max="5" width="8.42578125" style="1" customWidth="1"/>
    <col min="6" max="6" width="21.7109375" style="1" customWidth="1"/>
    <col min="7" max="7" width="22.140625" style="1" customWidth="1"/>
    <col min="8" max="13" width="11.42578125" style="2" customWidth="1"/>
    <col min="14" max="14" width="18.7109375" style="2" customWidth="1"/>
    <col min="15" max="15" width="18.42578125" style="2" customWidth="1"/>
    <col min="16" max="17" width="9.140625" style="2" customWidth="1"/>
    <col min="18" max="16384" width="9.140625" style="2"/>
  </cols>
  <sheetData>
    <row r="1" spans="1:15" s="1" customFormat="1" ht="27.75">
      <c r="A1" s="243" t="s">
        <v>1205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05"/>
    </row>
    <row r="2" spans="1:15" s="1" customFormat="1">
      <c r="B2" s="23"/>
      <c r="C2" s="23"/>
      <c r="D2" s="23"/>
      <c r="E2" s="23"/>
      <c r="F2" s="23"/>
      <c r="G2" s="23"/>
      <c r="H2" s="22"/>
      <c r="I2" s="22"/>
      <c r="J2" s="22"/>
      <c r="K2" s="22"/>
      <c r="L2" s="22"/>
      <c r="M2" s="22"/>
      <c r="N2" s="221" t="s">
        <v>366</v>
      </c>
      <c r="O2" s="22"/>
    </row>
    <row r="3" spans="1:15" s="99" customFormat="1" ht="21.75" customHeight="1">
      <c r="A3" s="206"/>
      <c r="B3" s="206"/>
      <c r="C3" s="250" t="s">
        <v>370</v>
      </c>
      <c r="D3" s="251"/>
      <c r="E3" s="252"/>
      <c r="F3" s="206"/>
      <c r="G3" s="208" t="s">
        <v>368</v>
      </c>
      <c r="H3" s="237" t="s">
        <v>1206</v>
      </c>
      <c r="I3" s="238"/>
      <c r="J3" s="238"/>
      <c r="K3" s="238"/>
      <c r="L3" s="238"/>
      <c r="M3" s="239"/>
      <c r="N3" s="240" t="s">
        <v>373</v>
      </c>
      <c r="O3" s="209"/>
    </row>
    <row r="4" spans="1:15" s="99" customFormat="1" ht="18.75" customHeight="1">
      <c r="A4" s="111" t="s">
        <v>365</v>
      </c>
      <c r="B4" s="110" t="s">
        <v>375</v>
      </c>
      <c r="C4" s="110" t="s">
        <v>371</v>
      </c>
      <c r="D4" s="110" t="s">
        <v>372</v>
      </c>
      <c r="E4" s="110" t="s">
        <v>275</v>
      </c>
      <c r="F4" s="110" t="s">
        <v>367</v>
      </c>
      <c r="G4" s="110" t="s">
        <v>1202</v>
      </c>
      <c r="H4" s="244" t="s">
        <v>1204</v>
      </c>
      <c r="I4" s="245"/>
      <c r="J4" s="245"/>
      <c r="K4" s="245"/>
      <c r="L4" s="245"/>
      <c r="M4" s="246"/>
      <c r="N4" s="241"/>
      <c r="O4" s="210"/>
    </row>
    <row r="5" spans="1:15" s="99" customFormat="1" ht="18.75" customHeight="1">
      <c r="A5" s="203"/>
      <c r="B5" s="207" t="s">
        <v>376</v>
      </c>
      <c r="C5" s="207"/>
      <c r="D5" s="207"/>
      <c r="E5" s="207"/>
      <c r="F5" s="207"/>
      <c r="G5" s="219" t="s">
        <v>369</v>
      </c>
      <c r="H5" s="114" t="s">
        <v>4</v>
      </c>
      <c r="I5" s="204" t="s">
        <v>318</v>
      </c>
      <c r="J5" s="204" t="s">
        <v>319</v>
      </c>
      <c r="K5" s="204" t="s">
        <v>317</v>
      </c>
      <c r="L5" s="219" t="s">
        <v>8</v>
      </c>
      <c r="M5" s="219" t="s">
        <v>9</v>
      </c>
      <c r="N5" s="242"/>
      <c r="O5" s="210"/>
    </row>
    <row r="6" spans="1:15" s="7" customFormat="1" ht="18.75" customHeight="1">
      <c r="A6" s="201">
        <v>1</v>
      </c>
      <c r="B6" s="200" t="s">
        <v>393</v>
      </c>
      <c r="C6" s="200" t="s">
        <v>394</v>
      </c>
      <c r="D6" s="200" t="s">
        <v>395</v>
      </c>
      <c r="E6" s="200" t="s">
        <v>109</v>
      </c>
      <c r="F6" s="200" t="s">
        <v>396</v>
      </c>
      <c r="G6" s="200"/>
      <c r="H6" s="202"/>
      <c r="I6" s="202"/>
      <c r="J6" s="202"/>
      <c r="K6" s="202"/>
      <c r="L6" s="64"/>
      <c r="M6" s="218">
        <f>SUM(H6:L6)</f>
        <v>0</v>
      </c>
      <c r="N6" s="64"/>
      <c r="O6" s="211"/>
    </row>
    <row r="7" spans="1:15" s="7" customFormat="1" ht="18.75" customHeight="1">
      <c r="A7" s="72">
        <v>2</v>
      </c>
      <c r="B7" s="78" t="s">
        <v>397</v>
      </c>
      <c r="C7" s="78" t="s">
        <v>398</v>
      </c>
      <c r="D7" s="78" t="s">
        <v>395</v>
      </c>
      <c r="E7" s="78" t="s">
        <v>152</v>
      </c>
      <c r="F7" s="78" t="s">
        <v>380</v>
      </c>
      <c r="G7" s="78"/>
      <c r="H7" s="92"/>
      <c r="I7" s="92"/>
      <c r="J7" s="92"/>
      <c r="K7" s="92"/>
      <c r="L7" s="64"/>
      <c r="M7" s="218">
        <f>SUM(H7:L7)</f>
        <v>0</v>
      </c>
      <c r="N7" s="64"/>
      <c r="O7" s="211"/>
    </row>
    <row r="8" spans="1:15" s="7" customFormat="1" ht="18.75" customHeight="1">
      <c r="A8" s="72">
        <v>3</v>
      </c>
      <c r="B8" s="78" t="s">
        <v>399</v>
      </c>
      <c r="C8" s="78" t="s">
        <v>400</v>
      </c>
      <c r="D8" s="78" t="s">
        <v>395</v>
      </c>
      <c r="E8" s="78" t="s">
        <v>213</v>
      </c>
      <c r="F8" s="78" t="s">
        <v>401</v>
      </c>
      <c r="G8" s="78"/>
      <c r="H8" s="92"/>
      <c r="I8" s="92"/>
      <c r="J8" s="92"/>
      <c r="K8" s="92"/>
      <c r="L8" s="64"/>
      <c r="M8" s="218">
        <f>SUM(H8:L8)</f>
        <v>0</v>
      </c>
      <c r="N8" s="64"/>
      <c r="O8" s="211"/>
    </row>
    <row r="9" spans="1:15" s="7" customFormat="1" ht="18.75" customHeight="1">
      <c r="A9" s="72">
        <v>4</v>
      </c>
      <c r="B9" s="78" t="s">
        <v>402</v>
      </c>
      <c r="C9" s="78" t="s">
        <v>403</v>
      </c>
      <c r="D9" s="78" t="s">
        <v>395</v>
      </c>
      <c r="E9" s="78" t="s">
        <v>145</v>
      </c>
      <c r="F9" s="78" t="s">
        <v>404</v>
      </c>
      <c r="G9" s="78"/>
      <c r="H9" s="92"/>
      <c r="I9" s="92"/>
      <c r="J9" s="92"/>
      <c r="K9" s="92"/>
      <c r="L9" s="64"/>
      <c r="M9" s="218">
        <f>SUM(H9:L9)</f>
        <v>0</v>
      </c>
      <c r="N9" s="64"/>
      <c r="O9" s="211"/>
    </row>
    <row r="10" spans="1:15" s="65" customFormat="1" ht="22.5" thickBot="1">
      <c r="A10" s="253" t="s">
        <v>9</v>
      </c>
      <c r="B10" s="254"/>
      <c r="C10" s="254"/>
      <c r="D10" s="254"/>
      <c r="E10" s="254"/>
      <c r="F10" s="255"/>
      <c r="G10" s="214">
        <f>SUM(G6:G9)</f>
        <v>0</v>
      </c>
      <c r="H10" s="214">
        <f t="shared" ref="H10:M10" si="0">SUM(H6:H9)</f>
        <v>0</v>
      </c>
      <c r="I10" s="214">
        <f t="shared" si="0"/>
        <v>0</v>
      </c>
      <c r="J10" s="214">
        <f t="shared" si="0"/>
        <v>0</v>
      </c>
      <c r="K10" s="214">
        <f t="shared" si="0"/>
        <v>0</v>
      </c>
      <c r="L10" s="214">
        <f t="shared" si="0"/>
        <v>0</v>
      </c>
      <c r="M10" s="214">
        <f t="shared" si="0"/>
        <v>0</v>
      </c>
      <c r="N10" s="97"/>
      <c r="O10" s="212"/>
    </row>
    <row r="11" spans="1:15" s="3" customFormat="1" ht="22.5" thickTop="1">
      <c r="B11" s="66"/>
      <c r="C11" s="66"/>
      <c r="D11" s="66"/>
      <c r="E11" s="66"/>
      <c r="F11" s="66"/>
      <c r="G11" s="66"/>
      <c r="H11" s="68"/>
      <c r="I11" s="68"/>
      <c r="J11" s="68"/>
      <c r="K11" s="68"/>
      <c r="L11" s="68"/>
      <c r="M11" s="68"/>
      <c r="N11" s="68"/>
      <c r="O11" s="68"/>
    </row>
    <row r="12" spans="1:15" s="3" customFormat="1">
      <c r="B12" s="66"/>
      <c r="C12" s="66"/>
      <c r="D12" s="66"/>
      <c r="E12" s="66"/>
      <c r="F12" s="66"/>
      <c r="G12" s="66"/>
      <c r="H12" s="67"/>
      <c r="I12" s="67"/>
      <c r="J12" s="67"/>
      <c r="K12" s="67"/>
      <c r="L12" s="67"/>
      <c r="M12" s="67"/>
      <c r="N12" s="67"/>
      <c r="O12" s="67"/>
    </row>
    <row r="13" spans="1:15">
      <c r="H13" s="195"/>
      <c r="I13" s="195"/>
      <c r="J13" s="195"/>
      <c r="K13" s="195"/>
      <c r="L13" s="195"/>
      <c r="M13" s="195"/>
      <c r="N13" s="195"/>
      <c r="O13" s="195"/>
    </row>
    <row r="14" spans="1:15">
      <c r="H14" s="195"/>
      <c r="I14" s="195"/>
      <c r="J14" s="195"/>
      <c r="K14" s="195"/>
      <c r="L14" s="195"/>
      <c r="M14" s="195"/>
      <c r="N14" s="195"/>
      <c r="O14" s="195"/>
    </row>
    <row r="15" spans="1:15">
      <c r="H15" s="195"/>
      <c r="I15" s="195"/>
      <c r="J15" s="195"/>
      <c r="K15" s="195"/>
      <c r="L15" s="195"/>
      <c r="M15" s="195"/>
      <c r="N15" s="195"/>
      <c r="O15" s="195"/>
    </row>
    <row r="17" spans="2:15"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2:15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</sheetData>
  <mergeCells count="6">
    <mergeCell ref="A10:F10"/>
    <mergeCell ref="A1:N1"/>
    <mergeCell ref="C3:E3"/>
    <mergeCell ref="H3:M3"/>
    <mergeCell ref="N3:N5"/>
    <mergeCell ref="H4:M4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P211"/>
  <sheetViews>
    <sheetView showGridLines="0" zoomScale="80" zoomScaleNormal="80" zoomScaleSheetLayoutView="100" workbookViewId="0">
      <pane xSplit="1" ySplit="5" topLeftCell="B108" activePane="bottomRight" state="frozen"/>
      <selection activeCell="K112" sqref="K112"/>
      <selection pane="topRight" activeCell="K112" sqref="K112"/>
      <selection pane="bottomLeft" activeCell="K112" sqref="K112"/>
      <selection pane="bottomRight" activeCell="K112" sqref="K112"/>
    </sheetView>
  </sheetViews>
  <sheetFormatPr defaultColWidth="9.140625" defaultRowHeight="21.75"/>
  <cols>
    <col min="1" max="1" width="39.85546875" style="1" bestFit="1" customWidth="1"/>
    <col min="2" max="2" width="14.28515625" style="2" customWidth="1"/>
    <col min="3" max="3" width="11" style="2" customWidth="1"/>
    <col min="4" max="4" width="10.28515625" style="2" customWidth="1"/>
    <col min="5" max="5" width="8.140625" style="2" customWidth="1"/>
    <col min="6" max="6" width="10.140625" style="2" customWidth="1"/>
    <col min="7" max="7" width="10.140625" style="2" bestFit="1" customWidth="1"/>
    <col min="8" max="8" width="15.5703125" style="2" bestFit="1" customWidth="1"/>
    <col min="9" max="11" width="12.5703125" style="2" customWidth="1"/>
    <col min="12" max="12" width="11.42578125" style="2" hidden="1" customWidth="1"/>
    <col min="13" max="13" width="12.28515625" style="2" hidden="1" customWidth="1"/>
    <col min="14" max="14" width="12.5703125" style="2" hidden="1" customWidth="1"/>
    <col min="15" max="15" width="12.7109375" style="2" hidden="1" customWidth="1"/>
    <col min="16" max="16" width="12.85546875" style="2" hidden="1" customWidth="1"/>
    <col min="17" max="17" width="12.28515625" style="2" hidden="1" customWidth="1"/>
    <col min="18" max="18" width="11.5703125" style="2" hidden="1" customWidth="1"/>
    <col min="19" max="19" width="12.28515625" style="2" hidden="1" customWidth="1"/>
    <col min="20" max="20" width="13.5703125" style="2" hidden="1" customWidth="1"/>
    <col min="21" max="21" width="44.5703125" style="2" customWidth="1"/>
    <col min="22" max="24" width="9.140625" style="2" customWidth="1"/>
    <col min="25" max="25" width="13.42578125" style="2" customWidth="1"/>
    <col min="26" max="42" width="9.140625" style="2" customWidth="1"/>
    <col min="43" max="43" width="10.140625" style="2" customWidth="1"/>
    <col min="44" max="16384" width="9.140625" style="2"/>
  </cols>
  <sheetData>
    <row r="1" spans="1:42" s="1" customFormat="1" hidden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42" s="1" customFormat="1" ht="15" customHeight="1">
      <c r="A2" s="23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42" s="99" customFormat="1" ht="21.75" customHeight="1">
      <c r="A3" s="119"/>
      <c r="B3" s="119"/>
      <c r="C3" s="259" t="s">
        <v>324</v>
      </c>
      <c r="D3" s="260"/>
      <c r="E3" s="260"/>
      <c r="F3" s="260"/>
      <c r="G3" s="260"/>
      <c r="H3" s="261"/>
      <c r="I3" s="259" t="s">
        <v>0</v>
      </c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1"/>
      <c r="U3" s="262" t="s">
        <v>332</v>
      </c>
      <c r="X3" s="100" t="s">
        <v>333</v>
      </c>
      <c r="Y3" s="101"/>
      <c r="Z3" s="101"/>
      <c r="AA3" s="101"/>
      <c r="AB3" s="101"/>
      <c r="AC3" s="102"/>
      <c r="AD3" s="100" t="s">
        <v>0</v>
      </c>
      <c r="AE3" s="101"/>
      <c r="AF3" s="101"/>
      <c r="AG3" s="101"/>
      <c r="AH3" s="101"/>
      <c r="AI3" s="101"/>
      <c r="AJ3" s="101"/>
      <c r="AK3" s="101"/>
      <c r="AL3" s="101"/>
      <c r="AM3" s="102"/>
      <c r="AN3" s="103" t="s">
        <v>1</v>
      </c>
      <c r="AO3" s="104"/>
    </row>
    <row r="4" spans="1:42" s="99" customFormat="1" ht="18.75" customHeight="1">
      <c r="A4" s="110" t="s">
        <v>2</v>
      </c>
      <c r="B4" s="111" t="s">
        <v>3</v>
      </c>
      <c r="C4" s="256" t="s">
        <v>4</v>
      </c>
      <c r="D4" s="112" t="s">
        <v>5</v>
      </c>
      <c r="E4" s="113" t="s">
        <v>6</v>
      </c>
      <c r="F4" s="113" t="s">
        <v>7</v>
      </c>
      <c r="G4" s="256" t="s">
        <v>8</v>
      </c>
      <c r="H4" s="256" t="s">
        <v>9</v>
      </c>
      <c r="I4" s="265" t="s">
        <v>354</v>
      </c>
      <c r="J4" s="265" t="s">
        <v>355</v>
      </c>
      <c r="K4" s="267" t="s">
        <v>356</v>
      </c>
      <c r="L4" s="256" t="s">
        <v>11</v>
      </c>
      <c r="M4" s="256" t="s">
        <v>12</v>
      </c>
      <c r="N4" s="256" t="s">
        <v>13</v>
      </c>
      <c r="O4" s="256" t="s">
        <v>14</v>
      </c>
      <c r="P4" s="256" t="s">
        <v>15</v>
      </c>
      <c r="Q4" s="256" t="s">
        <v>16</v>
      </c>
      <c r="R4" s="256" t="s">
        <v>17</v>
      </c>
      <c r="S4" s="256" t="s">
        <v>8</v>
      </c>
      <c r="T4" s="256" t="s">
        <v>9</v>
      </c>
      <c r="U4" s="263"/>
      <c r="X4" s="105" t="s">
        <v>4</v>
      </c>
      <c r="Y4" s="106" t="s">
        <v>5</v>
      </c>
      <c r="Z4" s="107" t="s">
        <v>6</v>
      </c>
      <c r="AA4" s="107" t="s">
        <v>7</v>
      </c>
      <c r="AB4" s="105" t="s">
        <v>8</v>
      </c>
      <c r="AC4" s="105" t="s">
        <v>9</v>
      </c>
      <c r="AD4" s="108" t="s">
        <v>10</v>
      </c>
      <c r="AE4" s="105" t="s">
        <v>11</v>
      </c>
      <c r="AF4" s="105" t="s">
        <v>12</v>
      </c>
      <c r="AG4" s="105" t="s">
        <v>13</v>
      </c>
      <c r="AH4" s="105" t="s">
        <v>14</v>
      </c>
      <c r="AI4" s="105" t="s">
        <v>15</v>
      </c>
      <c r="AJ4" s="105" t="s">
        <v>16</v>
      </c>
      <c r="AK4" s="105" t="s">
        <v>17</v>
      </c>
      <c r="AL4" s="105" t="s">
        <v>8</v>
      </c>
      <c r="AM4" s="105" t="s">
        <v>9</v>
      </c>
      <c r="AN4" s="109" t="s">
        <v>18</v>
      </c>
      <c r="AO4" s="109" t="s">
        <v>19</v>
      </c>
    </row>
    <row r="5" spans="1:42" s="99" customFormat="1" ht="18.75" customHeight="1">
      <c r="A5" s="114"/>
      <c r="B5" s="115"/>
      <c r="C5" s="257"/>
      <c r="D5" s="113" t="s">
        <v>20</v>
      </c>
      <c r="E5" s="113" t="s">
        <v>21</v>
      </c>
      <c r="F5" s="113" t="s">
        <v>334</v>
      </c>
      <c r="G5" s="257"/>
      <c r="H5" s="257"/>
      <c r="I5" s="266"/>
      <c r="J5" s="266"/>
      <c r="K5" s="266"/>
      <c r="L5" s="257"/>
      <c r="M5" s="257"/>
      <c r="N5" s="257"/>
      <c r="O5" s="257"/>
      <c r="P5" s="257"/>
      <c r="Q5" s="257"/>
      <c r="R5" s="257"/>
      <c r="S5" s="257"/>
      <c r="T5" s="257"/>
      <c r="U5" s="264"/>
      <c r="X5" s="105"/>
      <c r="Y5" s="107" t="s">
        <v>20</v>
      </c>
      <c r="Z5" s="107" t="s">
        <v>21</v>
      </c>
      <c r="AA5" s="107" t="s">
        <v>22</v>
      </c>
      <c r="AB5" s="105"/>
      <c r="AC5" s="105"/>
      <c r="AD5" s="108"/>
      <c r="AE5" s="105"/>
      <c r="AF5" s="105"/>
      <c r="AG5" s="105"/>
      <c r="AH5" s="105"/>
      <c r="AI5" s="105"/>
      <c r="AJ5" s="105"/>
      <c r="AK5" s="105"/>
      <c r="AL5" s="105"/>
      <c r="AM5" s="105"/>
      <c r="AN5" s="109"/>
      <c r="AO5" s="109"/>
    </row>
    <row r="6" spans="1:42" s="7" customFormat="1" ht="18.75" customHeight="1">
      <c r="A6" s="56" t="s">
        <v>335</v>
      </c>
      <c r="B6" s="70"/>
      <c r="C6" s="64"/>
      <c r="D6" s="57"/>
      <c r="E6" s="57"/>
      <c r="F6" s="57"/>
      <c r="G6" s="64"/>
      <c r="H6" s="64"/>
      <c r="I6" s="63"/>
      <c r="J6" s="63"/>
      <c r="K6" s="63"/>
      <c r="L6" s="64"/>
      <c r="M6" s="64"/>
      <c r="N6" s="64"/>
      <c r="O6" s="64"/>
      <c r="P6" s="64"/>
      <c r="Q6" s="64"/>
      <c r="R6" s="64"/>
      <c r="S6" s="64"/>
      <c r="T6" s="64"/>
      <c r="U6" s="62"/>
      <c r="X6" s="58"/>
      <c r="Y6" s="59"/>
      <c r="Z6" s="59"/>
      <c r="AA6" s="59"/>
      <c r="AB6" s="58"/>
      <c r="AC6" s="58"/>
      <c r="AD6" s="60"/>
      <c r="AE6" s="58"/>
      <c r="AF6" s="58"/>
      <c r="AG6" s="58"/>
      <c r="AH6" s="58"/>
      <c r="AI6" s="58"/>
      <c r="AJ6" s="58"/>
      <c r="AK6" s="58"/>
      <c r="AL6" s="58"/>
      <c r="AM6" s="58"/>
      <c r="AN6" s="61"/>
      <c r="AO6" s="61"/>
    </row>
    <row r="7" spans="1:42" s="77" customFormat="1">
      <c r="A7" s="78" t="s">
        <v>74</v>
      </c>
      <c r="B7" s="72">
        <v>101518</v>
      </c>
      <c r="C7" s="92">
        <v>65.907299999999992</v>
      </c>
      <c r="D7" s="92">
        <v>3.91</v>
      </c>
      <c r="E7" s="92">
        <v>0</v>
      </c>
      <c r="F7" s="92">
        <v>14.530000000000001</v>
      </c>
      <c r="G7" s="92">
        <v>0</v>
      </c>
      <c r="H7" s="92">
        <f t="shared" ref="H7:H12" si="0">SUM(C7:G7)</f>
        <v>84.34729999999999</v>
      </c>
      <c r="I7" s="72">
        <v>36135</v>
      </c>
      <c r="J7" s="72">
        <v>37214</v>
      </c>
      <c r="K7" s="72">
        <f>J7-I7</f>
        <v>1079</v>
      </c>
      <c r="L7" s="72">
        <v>5860</v>
      </c>
      <c r="M7" s="72">
        <v>127</v>
      </c>
      <c r="N7" s="72">
        <v>0</v>
      </c>
      <c r="O7" s="72">
        <v>41085</v>
      </c>
      <c r="P7" s="72">
        <v>2448</v>
      </c>
      <c r="Q7" s="72">
        <v>414</v>
      </c>
      <c r="R7" s="72">
        <v>0</v>
      </c>
      <c r="S7" s="72">
        <v>0</v>
      </c>
      <c r="T7" s="72">
        <f t="shared" ref="T7:T12" si="1">SUM(I7:S7)</f>
        <v>124362</v>
      </c>
      <c r="U7" s="73" t="s">
        <v>330</v>
      </c>
      <c r="V7" s="117"/>
      <c r="W7" s="74"/>
      <c r="X7" s="75">
        <f t="shared" ref="X7:AD12" si="2">+C7/$B7</f>
        <v>6.492178726925274E-4</v>
      </c>
      <c r="Y7" s="75">
        <f t="shared" si="2"/>
        <v>3.8515337181583564E-5</v>
      </c>
      <c r="Z7" s="75">
        <f t="shared" si="2"/>
        <v>0</v>
      </c>
      <c r="AA7" s="75">
        <f t="shared" si="2"/>
        <v>1.431273271735062E-4</v>
      </c>
      <c r="AB7" s="75">
        <f t="shared" si="2"/>
        <v>0</v>
      </c>
      <c r="AC7" s="75">
        <f t="shared" si="2"/>
        <v>8.3086053704761709E-4</v>
      </c>
      <c r="AD7" s="75">
        <f t="shared" si="2"/>
        <v>0.35594672865895705</v>
      </c>
      <c r="AE7" s="75">
        <f t="shared" ref="AE7:AM12" si="3">+L7/$B7</f>
        <v>5.7723753423038281E-2</v>
      </c>
      <c r="AF7" s="75">
        <f t="shared" si="3"/>
        <v>1.2510096731614098E-3</v>
      </c>
      <c r="AG7" s="75">
        <f t="shared" si="3"/>
        <v>0</v>
      </c>
      <c r="AH7" s="75">
        <f t="shared" si="3"/>
        <v>0.40470655450264975</v>
      </c>
      <c r="AI7" s="75">
        <f t="shared" si="3"/>
        <v>2.4113950235426229E-2</v>
      </c>
      <c r="AJ7" s="75">
        <f t="shared" si="3"/>
        <v>4.0780945251088479E-3</v>
      </c>
      <c r="AK7" s="75">
        <f t="shared" si="3"/>
        <v>0</v>
      </c>
      <c r="AL7" s="75">
        <f t="shared" si="3"/>
        <v>0</v>
      </c>
      <c r="AM7" s="75">
        <f t="shared" si="3"/>
        <v>1.2250241336511751</v>
      </c>
      <c r="AN7" s="75"/>
      <c r="AO7" s="75"/>
      <c r="AP7" s="76" t="e">
        <f>+VLOOKUP($A7,#REF!,2,FALSE)</f>
        <v>#REF!</v>
      </c>
    </row>
    <row r="8" spans="1:42" s="77" customFormat="1">
      <c r="A8" s="78" t="s">
        <v>75</v>
      </c>
      <c r="B8" s="72">
        <v>99027</v>
      </c>
      <c r="C8" s="92">
        <v>31.331000000000003</v>
      </c>
      <c r="D8" s="92">
        <v>2.17</v>
      </c>
      <c r="E8" s="92">
        <v>0</v>
      </c>
      <c r="F8" s="92">
        <v>2.8439999999999999</v>
      </c>
      <c r="G8" s="92">
        <v>0</v>
      </c>
      <c r="H8" s="92">
        <f t="shared" si="0"/>
        <v>36.345000000000006</v>
      </c>
      <c r="I8" s="72">
        <v>29279</v>
      </c>
      <c r="J8" s="72">
        <v>26953</v>
      </c>
      <c r="K8" s="72">
        <f t="shared" ref="K8:K71" si="4">J8-I8</f>
        <v>-2326</v>
      </c>
      <c r="L8" s="72">
        <v>0</v>
      </c>
      <c r="M8" s="72">
        <v>7790</v>
      </c>
      <c r="N8" s="72">
        <v>0</v>
      </c>
      <c r="O8" s="72">
        <v>49877</v>
      </c>
      <c r="P8" s="72">
        <v>0</v>
      </c>
      <c r="Q8" s="72">
        <v>363</v>
      </c>
      <c r="R8" s="72">
        <v>0</v>
      </c>
      <c r="S8" s="72">
        <v>0</v>
      </c>
      <c r="T8" s="72">
        <f t="shared" si="1"/>
        <v>111936</v>
      </c>
      <c r="U8" s="73" t="s">
        <v>330</v>
      </c>
      <c r="V8" s="117"/>
      <c r="W8" s="74"/>
      <c r="X8" s="75">
        <f t="shared" si="2"/>
        <v>3.1638845971300759E-4</v>
      </c>
      <c r="Y8" s="75">
        <f t="shared" si="2"/>
        <v>2.191321558766801E-5</v>
      </c>
      <c r="Z8" s="75">
        <f t="shared" si="2"/>
        <v>0</v>
      </c>
      <c r="AA8" s="75">
        <f t="shared" si="2"/>
        <v>2.8719440152685631E-5</v>
      </c>
      <c r="AB8" s="75">
        <f t="shared" si="2"/>
        <v>0</v>
      </c>
      <c r="AC8" s="75">
        <f t="shared" si="2"/>
        <v>3.6702111545336126E-4</v>
      </c>
      <c r="AD8" s="75">
        <f t="shared" si="2"/>
        <v>0.29566683833701918</v>
      </c>
      <c r="AE8" s="75">
        <f t="shared" si="3"/>
        <v>0</v>
      </c>
      <c r="AF8" s="75">
        <f t="shared" si="3"/>
        <v>7.8665414482918805E-2</v>
      </c>
      <c r="AG8" s="75">
        <f t="shared" si="3"/>
        <v>0</v>
      </c>
      <c r="AH8" s="75">
        <f t="shared" si="3"/>
        <v>0.50367071606733516</v>
      </c>
      <c r="AI8" s="75">
        <f t="shared" si="3"/>
        <v>0</v>
      </c>
      <c r="AJ8" s="75">
        <f t="shared" si="3"/>
        <v>3.6656669393195793E-3</v>
      </c>
      <c r="AK8" s="75">
        <f t="shared" si="3"/>
        <v>0</v>
      </c>
      <c r="AL8" s="75">
        <f t="shared" si="3"/>
        <v>0</v>
      </c>
      <c r="AM8" s="75">
        <f t="shared" si="3"/>
        <v>1.1303583871065468</v>
      </c>
      <c r="AN8" s="75"/>
      <c r="AO8" s="75"/>
      <c r="AP8" s="76" t="e">
        <f>+VLOOKUP($A8,#REF!,2,FALSE)</f>
        <v>#REF!</v>
      </c>
    </row>
    <row r="9" spans="1:42" s="77" customFormat="1">
      <c r="A9" s="78" t="s">
        <v>178</v>
      </c>
      <c r="B9" s="72">
        <v>10594</v>
      </c>
      <c r="C9" s="92">
        <v>10.346999999999998</v>
      </c>
      <c r="D9" s="92">
        <v>2.3069999999999999</v>
      </c>
      <c r="E9" s="92">
        <v>0</v>
      </c>
      <c r="F9" s="92">
        <v>2.23</v>
      </c>
      <c r="G9" s="92">
        <v>0</v>
      </c>
      <c r="H9" s="92">
        <f t="shared" si="0"/>
        <v>14.883999999999999</v>
      </c>
      <c r="I9" s="72">
        <v>6594</v>
      </c>
      <c r="J9" s="72">
        <v>9686</v>
      </c>
      <c r="K9" s="72">
        <f t="shared" si="4"/>
        <v>3092</v>
      </c>
      <c r="L9" s="72">
        <v>1605</v>
      </c>
      <c r="M9" s="72">
        <v>68</v>
      </c>
      <c r="N9" s="72">
        <v>0</v>
      </c>
      <c r="O9" s="72">
        <v>1293</v>
      </c>
      <c r="P9" s="72">
        <v>200</v>
      </c>
      <c r="Q9" s="72">
        <v>157</v>
      </c>
      <c r="R9" s="72">
        <v>0</v>
      </c>
      <c r="S9" s="72">
        <v>107</v>
      </c>
      <c r="T9" s="72">
        <f t="shared" si="1"/>
        <v>22802</v>
      </c>
      <c r="U9" s="73" t="s">
        <v>330</v>
      </c>
      <c r="V9" s="117"/>
      <c r="W9" s="74"/>
      <c r="X9" s="75">
        <f t="shared" si="2"/>
        <v>9.7668491599018281E-4</v>
      </c>
      <c r="Y9" s="75">
        <f t="shared" si="2"/>
        <v>2.1776477251274305E-4</v>
      </c>
      <c r="Z9" s="75">
        <f t="shared" si="2"/>
        <v>0</v>
      </c>
      <c r="AA9" s="75">
        <f t="shared" si="2"/>
        <v>2.1049650745705116E-4</v>
      </c>
      <c r="AB9" s="75">
        <f t="shared" si="2"/>
        <v>0</v>
      </c>
      <c r="AC9" s="75">
        <f t="shared" si="2"/>
        <v>1.4049461959599772E-3</v>
      </c>
      <c r="AD9" s="75">
        <f t="shared" si="2"/>
        <v>0.62242778931470644</v>
      </c>
      <c r="AE9" s="75">
        <f t="shared" si="3"/>
        <v>0.15150084953747403</v>
      </c>
      <c r="AF9" s="75">
        <f t="shared" si="3"/>
        <v>6.4187275816499903E-3</v>
      </c>
      <c r="AG9" s="75">
        <f t="shared" si="3"/>
        <v>0</v>
      </c>
      <c r="AH9" s="75">
        <f t="shared" si="3"/>
        <v>0.12205021710402114</v>
      </c>
      <c r="AI9" s="75">
        <f t="shared" si="3"/>
        <v>1.8878610534264678E-2</v>
      </c>
      <c r="AJ9" s="75">
        <f t="shared" si="3"/>
        <v>1.4819709269397772E-2</v>
      </c>
      <c r="AK9" s="75">
        <f t="shared" si="3"/>
        <v>0</v>
      </c>
      <c r="AL9" s="75">
        <f t="shared" si="3"/>
        <v>1.0100056635831602E-2</v>
      </c>
      <c r="AM9" s="75">
        <f t="shared" si="3"/>
        <v>2.1523503870115159</v>
      </c>
      <c r="AN9" s="75"/>
      <c r="AO9" s="75"/>
      <c r="AP9" s="76" t="e">
        <f>+VLOOKUP($A9,#REF!,2,FALSE)</f>
        <v>#REF!</v>
      </c>
    </row>
    <row r="10" spans="1:42" s="77" customFormat="1">
      <c r="A10" s="78" t="s">
        <v>77</v>
      </c>
      <c r="B10" s="72">
        <v>95931</v>
      </c>
      <c r="C10" s="92">
        <v>115.83</v>
      </c>
      <c r="D10" s="92">
        <v>3.6</v>
      </c>
      <c r="E10" s="92">
        <v>0</v>
      </c>
      <c r="F10" s="92">
        <v>0</v>
      </c>
      <c r="G10" s="92">
        <v>1.2</v>
      </c>
      <c r="H10" s="92">
        <f t="shared" si="0"/>
        <v>120.63</v>
      </c>
      <c r="I10" s="72">
        <f>64900-1869</f>
        <v>63031</v>
      </c>
      <c r="J10" s="72">
        <v>64900</v>
      </c>
      <c r="K10" s="72">
        <f t="shared" si="4"/>
        <v>1869</v>
      </c>
      <c r="L10" s="72">
        <v>4000</v>
      </c>
      <c r="M10" s="72">
        <v>900</v>
      </c>
      <c r="N10" s="72">
        <v>0</v>
      </c>
      <c r="O10" s="72">
        <v>27000</v>
      </c>
      <c r="P10" s="72">
        <v>0</v>
      </c>
      <c r="Q10" s="72">
        <v>1000</v>
      </c>
      <c r="R10" s="72">
        <v>0</v>
      </c>
      <c r="S10" s="72">
        <v>0</v>
      </c>
      <c r="T10" s="72">
        <f t="shared" si="1"/>
        <v>162700</v>
      </c>
      <c r="U10" s="73" t="s">
        <v>330</v>
      </c>
      <c r="V10" s="117"/>
      <c r="W10" s="74"/>
      <c r="X10" s="75">
        <f t="shared" si="2"/>
        <v>1.2074303405572755E-3</v>
      </c>
      <c r="Y10" s="75">
        <f t="shared" si="2"/>
        <v>3.7526972511492634E-5</v>
      </c>
      <c r="Z10" s="75">
        <f t="shared" si="2"/>
        <v>0</v>
      </c>
      <c r="AA10" s="75">
        <f t="shared" si="2"/>
        <v>0</v>
      </c>
      <c r="AB10" s="75">
        <f t="shared" si="2"/>
        <v>1.2508990837164211E-5</v>
      </c>
      <c r="AC10" s="75">
        <f t="shared" si="2"/>
        <v>1.2574663039059324E-3</v>
      </c>
      <c r="AD10" s="75">
        <f t="shared" si="2"/>
        <v>0.65704516788108125</v>
      </c>
      <c r="AE10" s="75">
        <f t="shared" si="3"/>
        <v>4.1696636123880707E-2</v>
      </c>
      <c r="AF10" s="75">
        <f t="shared" si="3"/>
        <v>9.3817431278731597E-3</v>
      </c>
      <c r="AG10" s="75">
        <f t="shared" si="3"/>
        <v>0</v>
      </c>
      <c r="AH10" s="75">
        <f t="shared" si="3"/>
        <v>0.28145229383619474</v>
      </c>
      <c r="AI10" s="75">
        <f t="shared" si="3"/>
        <v>0</v>
      </c>
      <c r="AJ10" s="75">
        <f t="shared" si="3"/>
        <v>1.0424159030970177E-2</v>
      </c>
      <c r="AK10" s="75">
        <f t="shared" si="3"/>
        <v>0</v>
      </c>
      <c r="AL10" s="75">
        <f t="shared" si="3"/>
        <v>0</v>
      </c>
      <c r="AM10" s="75">
        <f t="shared" si="3"/>
        <v>1.6960106743388477</v>
      </c>
      <c r="AN10" s="75"/>
      <c r="AO10" s="75"/>
      <c r="AP10" s="76" t="e">
        <f>+VLOOKUP($A10,#REF!,2,FALSE)</f>
        <v>#REF!</v>
      </c>
    </row>
    <row r="11" spans="1:42" s="77" customFormat="1">
      <c r="A11" s="78" t="s">
        <v>78</v>
      </c>
      <c r="B11" s="72">
        <v>69684</v>
      </c>
      <c r="C11" s="92">
        <v>61.641757952744285</v>
      </c>
      <c r="D11" s="92">
        <v>6.7198753548387096</v>
      </c>
      <c r="E11" s="92">
        <v>0.45600000000000018</v>
      </c>
      <c r="F11" s="92">
        <v>0</v>
      </c>
      <c r="G11" s="92">
        <v>77.472322853823471</v>
      </c>
      <c r="H11" s="92">
        <f t="shared" si="0"/>
        <v>146.28995616140645</v>
      </c>
      <c r="I11" s="72">
        <f>40215-1897</f>
        <v>38318</v>
      </c>
      <c r="J11" s="72">
        <v>42434</v>
      </c>
      <c r="K11" s="72">
        <f t="shared" si="4"/>
        <v>4116</v>
      </c>
      <c r="L11" s="72">
        <v>8102</v>
      </c>
      <c r="M11" s="72">
        <v>4112</v>
      </c>
      <c r="N11" s="72">
        <v>0</v>
      </c>
      <c r="O11" s="72">
        <v>18798</v>
      </c>
      <c r="P11" s="72">
        <v>0</v>
      </c>
      <c r="Q11" s="72">
        <v>354</v>
      </c>
      <c r="R11" s="72">
        <v>0</v>
      </c>
      <c r="S11" s="72">
        <v>0</v>
      </c>
      <c r="T11" s="72">
        <f t="shared" si="1"/>
        <v>116234</v>
      </c>
      <c r="U11" s="73" t="s">
        <v>330</v>
      </c>
      <c r="V11" s="117"/>
      <c r="W11" s="74"/>
      <c r="X11" s="75">
        <f t="shared" si="2"/>
        <v>8.8458983343011721E-4</v>
      </c>
      <c r="Y11" s="75">
        <f t="shared" si="2"/>
        <v>9.64335479426943E-5</v>
      </c>
      <c r="Z11" s="75">
        <f t="shared" si="2"/>
        <v>6.5438264163940101E-6</v>
      </c>
      <c r="AA11" s="75">
        <f t="shared" si="2"/>
        <v>0</v>
      </c>
      <c r="AB11" s="75">
        <f t="shared" si="2"/>
        <v>1.1117663000663491E-3</v>
      </c>
      <c r="AC11" s="75">
        <f t="shared" si="2"/>
        <v>2.0993335078555546E-3</v>
      </c>
      <c r="AD11" s="75">
        <f t="shared" si="2"/>
        <v>0.54988232592847708</v>
      </c>
      <c r="AE11" s="75">
        <f t="shared" si="3"/>
        <v>0.11626772286321106</v>
      </c>
      <c r="AF11" s="75">
        <f t="shared" si="3"/>
        <v>5.9009241719763503E-2</v>
      </c>
      <c r="AG11" s="75">
        <f t="shared" si="3"/>
        <v>0</v>
      </c>
      <c r="AH11" s="75">
        <f t="shared" si="3"/>
        <v>0.26976063371792663</v>
      </c>
      <c r="AI11" s="75">
        <f t="shared" si="3"/>
        <v>0</v>
      </c>
      <c r="AJ11" s="75">
        <f t="shared" si="3"/>
        <v>5.0800757706216636E-3</v>
      </c>
      <c r="AK11" s="75">
        <f t="shared" si="3"/>
        <v>0</v>
      </c>
      <c r="AL11" s="75">
        <f t="shared" si="3"/>
        <v>0</v>
      </c>
      <c r="AM11" s="75">
        <f t="shared" si="3"/>
        <v>1.6680156133402215</v>
      </c>
      <c r="AN11" s="75"/>
      <c r="AO11" s="75"/>
      <c r="AP11" s="76" t="e">
        <f>+VLOOKUP($A11,#REF!,2,FALSE)</f>
        <v>#REF!</v>
      </c>
    </row>
    <row r="12" spans="1:42" s="77" customFormat="1">
      <c r="A12" s="79" t="s">
        <v>76</v>
      </c>
      <c r="B12" s="72">
        <v>172125</v>
      </c>
      <c r="C12" s="92">
        <v>76.084000000000003</v>
      </c>
      <c r="D12" s="92">
        <v>8.2460000000000004</v>
      </c>
      <c r="E12" s="92">
        <v>0</v>
      </c>
      <c r="F12" s="92">
        <v>0</v>
      </c>
      <c r="G12" s="92">
        <v>0</v>
      </c>
      <c r="H12" s="92">
        <f t="shared" si="0"/>
        <v>84.33</v>
      </c>
      <c r="I12" s="72">
        <v>113800</v>
      </c>
      <c r="J12" s="72">
        <v>120000</v>
      </c>
      <c r="K12" s="72">
        <f t="shared" si="4"/>
        <v>6200</v>
      </c>
      <c r="L12" s="72">
        <v>0</v>
      </c>
      <c r="M12" s="72">
        <v>0</v>
      </c>
      <c r="N12" s="72">
        <v>0</v>
      </c>
      <c r="O12" s="72">
        <v>32000</v>
      </c>
      <c r="P12" s="72">
        <v>0</v>
      </c>
      <c r="Q12" s="72">
        <v>2600</v>
      </c>
      <c r="R12" s="72">
        <v>0</v>
      </c>
      <c r="S12" s="72">
        <v>0</v>
      </c>
      <c r="T12" s="72">
        <f t="shared" si="1"/>
        <v>274600</v>
      </c>
      <c r="U12" s="73" t="s">
        <v>330</v>
      </c>
      <c r="V12" s="117"/>
      <c r="W12" s="74"/>
      <c r="X12" s="75">
        <f t="shared" si="2"/>
        <v>4.4202759622367465E-4</v>
      </c>
      <c r="Y12" s="75">
        <f t="shared" si="2"/>
        <v>4.7907044299201162E-5</v>
      </c>
      <c r="Z12" s="75">
        <f t="shared" si="2"/>
        <v>0</v>
      </c>
      <c r="AA12" s="75">
        <f t="shared" si="2"/>
        <v>0</v>
      </c>
      <c r="AB12" s="75">
        <f t="shared" si="2"/>
        <v>0</v>
      </c>
      <c r="AC12" s="75">
        <f t="shared" si="2"/>
        <v>4.8993464052287576E-4</v>
      </c>
      <c r="AD12" s="75">
        <f t="shared" si="2"/>
        <v>0.6611474219317357</v>
      </c>
      <c r="AE12" s="75">
        <f t="shared" si="3"/>
        <v>0</v>
      </c>
      <c r="AF12" s="75">
        <f t="shared" si="3"/>
        <v>0</v>
      </c>
      <c r="AG12" s="75">
        <f t="shared" si="3"/>
        <v>0</v>
      </c>
      <c r="AH12" s="75">
        <f t="shared" si="3"/>
        <v>0.18591140159767611</v>
      </c>
      <c r="AI12" s="75">
        <f t="shared" si="3"/>
        <v>0</v>
      </c>
      <c r="AJ12" s="75">
        <f t="shared" si="3"/>
        <v>1.5105301379811184E-2</v>
      </c>
      <c r="AK12" s="75">
        <f t="shared" si="3"/>
        <v>0</v>
      </c>
      <c r="AL12" s="75">
        <f t="shared" si="3"/>
        <v>0</v>
      </c>
      <c r="AM12" s="75">
        <f t="shared" si="3"/>
        <v>1.5953522149600581</v>
      </c>
      <c r="AN12" s="75"/>
      <c r="AO12" s="75"/>
      <c r="AP12" s="76" t="e">
        <f>+VLOOKUP($A12,#REF!,2,FALSE)</f>
        <v>#REF!</v>
      </c>
    </row>
    <row r="13" spans="1:42" s="77" customFormat="1">
      <c r="A13" s="80" t="s">
        <v>9</v>
      </c>
      <c r="B13" s="90">
        <f>SUM(B7:B12)</f>
        <v>548879</v>
      </c>
      <c r="C13" s="93">
        <f t="shared" ref="C13:T13" si="5">SUM(C7:C12)</f>
        <v>361.14105795274429</v>
      </c>
      <c r="D13" s="93">
        <f t="shared" si="5"/>
        <v>26.95287535483871</v>
      </c>
      <c r="E13" s="93">
        <f t="shared" si="5"/>
        <v>0.45600000000000018</v>
      </c>
      <c r="F13" s="93">
        <f t="shared" si="5"/>
        <v>19.604000000000003</v>
      </c>
      <c r="G13" s="93">
        <f t="shared" si="5"/>
        <v>78.672322853823474</v>
      </c>
      <c r="H13" s="93">
        <f t="shared" si="5"/>
        <v>486.82625616140638</v>
      </c>
      <c r="I13" s="90">
        <f t="shared" si="5"/>
        <v>287157</v>
      </c>
      <c r="J13" s="90">
        <f t="shared" si="5"/>
        <v>301187</v>
      </c>
      <c r="K13" s="90">
        <f t="shared" si="5"/>
        <v>14030</v>
      </c>
      <c r="L13" s="90">
        <f t="shared" si="5"/>
        <v>19567</v>
      </c>
      <c r="M13" s="90">
        <f t="shared" si="5"/>
        <v>12997</v>
      </c>
      <c r="N13" s="90">
        <f t="shared" si="5"/>
        <v>0</v>
      </c>
      <c r="O13" s="90">
        <f t="shared" si="5"/>
        <v>170053</v>
      </c>
      <c r="P13" s="90">
        <f t="shared" si="5"/>
        <v>2648</v>
      </c>
      <c r="Q13" s="90">
        <f t="shared" si="5"/>
        <v>4888</v>
      </c>
      <c r="R13" s="90">
        <f t="shared" si="5"/>
        <v>0</v>
      </c>
      <c r="S13" s="90">
        <f t="shared" si="5"/>
        <v>107</v>
      </c>
      <c r="T13" s="90">
        <f t="shared" si="5"/>
        <v>812634</v>
      </c>
      <c r="U13" s="80"/>
      <c r="V13" s="117"/>
      <c r="W13" s="74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6"/>
    </row>
    <row r="14" spans="1:42" s="77" customFormat="1">
      <c r="A14" s="81" t="s">
        <v>336</v>
      </c>
      <c r="B14" s="72"/>
      <c r="C14" s="92"/>
      <c r="D14" s="92"/>
      <c r="E14" s="92"/>
      <c r="F14" s="92"/>
      <c r="G14" s="92"/>
      <c r="H14" s="9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117"/>
      <c r="W14" s="74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6"/>
    </row>
    <row r="15" spans="1:42" s="77" customFormat="1">
      <c r="A15" s="78" t="s">
        <v>203</v>
      </c>
      <c r="B15" s="72">
        <v>20538.620094865</v>
      </c>
      <c r="C15" s="92">
        <v>32.219000000000008</v>
      </c>
      <c r="D15" s="92">
        <v>0.99099999999999988</v>
      </c>
      <c r="E15" s="92">
        <v>0</v>
      </c>
      <c r="F15" s="92">
        <v>0</v>
      </c>
      <c r="G15" s="92">
        <v>0</v>
      </c>
      <c r="H15" s="92">
        <f>SUM(C15:G15)</f>
        <v>33.210000000000008</v>
      </c>
      <c r="I15" s="72">
        <f>74071-53532</f>
        <v>20539</v>
      </c>
      <c r="J15" s="72">
        <v>20538.620094865</v>
      </c>
      <c r="K15" s="72">
        <f t="shared" si="4"/>
        <v>-0.37990513499971712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f>SUM(I15:S15)</f>
        <v>41077.240189730001</v>
      </c>
      <c r="U15" s="73" t="s">
        <v>330</v>
      </c>
      <c r="V15" s="117"/>
      <c r="W15" s="74"/>
      <c r="X15" s="75">
        <f t="shared" ref="X15:AD21" si="6">+C15/$B15</f>
        <v>1.5687032454558766E-3</v>
      </c>
      <c r="Y15" s="75">
        <f t="shared" si="6"/>
        <v>4.8250563836455912E-5</v>
      </c>
      <c r="Z15" s="75">
        <f t="shared" si="6"/>
        <v>0</v>
      </c>
      <c r="AA15" s="75">
        <f t="shared" si="6"/>
        <v>0</v>
      </c>
      <c r="AB15" s="75">
        <f t="shared" si="6"/>
        <v>0</v>
      </c>
      <c r="AC15" s="75">
        <f t="shared" si="6"/>
        <v>1.6169538092923323E-3</v>
      </c>
      <c r="AD15" s="75">
        <f t="shared" si="6"/>
        <v>1.0000184971109669</v>
      </c>
      <c r="AE15" s="75">
        <f t="shared" ref="AE15:AM21" si="7">+L15/$B15</f>
        <v>0</v>
      </c>
      <c r="AF15" s="75">
        <f t="shared" si="7"/>
        <v>0</v>
      </c>
      <c r="AG15" s="75">
        <f t="shared" si="7"/>
        <v>0</v>
      </c>
      <c r="AH15" s="75">
        <f t="shared" si="7"/>
        <v>0</v>
      </c>
      <c r="AI15" s="75">
        <f t="shared" si="7"/>
        <v>0</v>
      </c>
      <c r="AJ15" s="75">
        <f t="shared" si="7"/>
        <v>0</v>
      </c>
      <c r="AK15" s="75">
        <f t="shared" si="7"/>
        <v>0</v>
      </c>
      <c r="AL15" s="75">
        <f t="shared" si="7"/>
        <v>0</v>
      </c>
      <c r="AM15" s="75">
        <f t="shared" si="7"/>
        <v>2</v>
      </c>
      <c r="AN15" s="75"/>
      <c r="AO15" s="75"/>
      <c r="AP15" s="76" t="e">
        <f>+VLOOKUP($A15,#REF!,2,FALSE)</f>
        <v>#REF!</v>
      </c>
    </row>
    <row r="16" spans="1:42" s="77" customFormat="1">
      <c r="A16" s="78" t="s">
        <v>120</v>
      </c>
      <c r="B16" s="72">
        <v>45945</v>
      </c>
      <c r="C16" s="92">
        <v>41.518000000000001</v>
      </c>
      <c r="D16" s="92">
        <v>0</v>
      </c>
      <c r="E16" s="92">
        <v>0</v>
      </c>
      <c r="F16" s="92">
        <v>0</v>
      </c>
      <c r="G16" s="92">
        <v>0</v>
      </c>
      <c r="H16" s="92">
        <f t="shared" ref="H16:H21" si="8">SUM(C16:G16)</f>
        <v>41.518000000000001</v>
      </c>
      <c r="I16" s="72">
        <v>43077</v>
      </c>
      <c r="J16" s="72">
        <v>44882</v>
      </c>
      <c r="K16" s="72">
        <f t="shared" si="4"/>
        <v>1805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f t="shared" ref="T16:T21" si="9">SUM(I16:S16)</f>
        <v>89764</v>
      </c>
      <c r="U16" s="73" t="s">
        <v>330</v>
      </c>
      <c r="V16" s="117"/>
      <c r="W16" s="74"/>
      <c r="X16" s="75">
        <f t="shared" si="6"/>
        <v>9.0364566329306784E-4</v>
      </c>
      <c r="Y16" s="75">
        <f t="shared" si="6"/>
        <v>0</v>
      </c>
      <c r="Z16" s="75">
        <f t="shared" si="6"/>
        <v>0</v>
      </c>
      <c r="AA16" s="75">
        <f t="shared" si="6"/>
        <v>0</v>
      </c>
      <c r="AB16" s="75">
        <f t="shared" si="6"/>
        <v>0</v>
      </c>
      <c r="AC16" s="75">
        <f t="shared" si="6"/>
        <v>9.0364566329306784E-4</v>
      </c>
      <c r="AD16" s="75">
        <f t="shared" si="6"/>
        <v>0.93757753836108393</v>
      </c>
      <c r="AE16" s="75">
        <f t="shared" si="7"/>
        <v>0</v>
      </c>
      <c r="AF16" s="75">
        <f t="shared" si="7"/>
        <v>0</v>
      </c>
      <c r="AG16" s="75">
        <f t="shared" si="7"/>
        <v>0</v>
      </c>
      <c r="AH16" s="75">
        <f t="shared" si="7"/>
        <v>0</v>
      </c>
      <c r="AI16" s="75">
        <f t="shared" si="7"/>
        <v>0</v>
      </c>
      <c r="AJ16" s="75">
        <f t="shared" si="7"/>
        <v>0</v>
      </c>
      <c r="AK16" s="75">
        <f t="shared" si="7"/>
        <v>0</v>
      </c>
      <c r="AL16" s="75">
        <f t="shared" si="7"/>
        <v>0</v>
      </c>
      <c r="AM16" s="75">
        <f t="shared" si="7"/>
        <v>1.9537272826205245</v>
      </c>
      <c r="AN16" s="75"/>
      <c r="AO16" s="75"/>
      <c r="AP16" s="76" t="e">
        <f>+VLOOKUP($A16,#REF!,2,FALSE)</f>
        <v>#REF!</v>
      </c>
    </row>
    <row r="17" spans="1:42" s="77" customFormat="1">
      <c r="A17" s="78" t="s">
        <v>146</v>
      </c>
      <c r="B17" s="72">
        <v>86684</v>
      </c>
      <c r="C17" s="92">
        <v>61.449999999999996</v>
      </c>
      <c r="D17" s="92">
        <v>0</v>
      </c>
      <c r="E17" s="92">
        <v>0</v>
      </c>
      <c r="F17" s="92">
        <v>0.3</v>
      </c>
      <c r="G17" s="92">
        <v>0</v>
      </c>
      <c r="H17" s="92">
        <f t="shared" si="8"/>
        <v>61.749999999999993</v>
      </c>
      <c r="I17" s="72">
        <f>90363-3679</f>
        <v>86684</v>
      </c>
      <c r="J17" s="72">
        <v>86684</v>
      </c>
      <c r="K17" s="72">
        <f t="shared" si="4"/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f t="shared" si="9"/>
        <v>173368</v>
      </c>
      <c r="U17" s="73" t="s">
        <v>330</v>
      </c>
      <c r="V17" s="117"/>
      <c r="W17" s="74"/>
      <c r="X17" s="75">
        <f t="shared" si="6"/>
        <v>7.0889668220202109E-4</v>
      </c>
      <c r="Y17" s="75">
        <f t="shared" si="6"/>
        <v>0</v>
      </c>
      <c r="Z17" s="75">
        <f t="shared" si="6"/>
        <v>0</v>
      </c>
      <c r="AA17" s="75">
        <f t="shared" si="6"/>
        <v>3.4608462922800056E-6</v>
      </c>
      <c r="AB17" s="75">
        <f t="shared" si="6"/>
        <v>0</v>
      </c>
      <c r="AC17" s="75">
        <f t="shared" si="6"/>
        <v>7.1235752849430111E-4</v>
      </c>
      <c r="AD17" s="75">
        <f t="shared" si="6"/>
        <v>1</v>
      </c>
      <c r="AE17" s="75">
        <f t="shared" si="7"/>
        <v>0</v>
      </c>
      <c r="AF17" s="75">
        <f t="shared" si="7"/>
        <v>0</v>
      </c>
      <c r="AG17" s="75">
        <f t="shared" si="7"/>
        <v>0</v>
      </c>
      <c r="AH17" s="75">
        <f t="shared" si="7"/>
        <v>0</v>
      </c>
      <c r="AI17" s="75">
        <f t="shared" si="7"/>
        <v>0</v>
      </c>
      <c r="AJ17" s="75">
        <f t="shared" si="7"/>
        <v>0</v>
      </c>
      <c r="AK17" s="75">
        <f t="shared" si="7"/>
        <v>0</v>
      </c>
      <c r="AL17" s="75">
        <f t="shared" si="7"/>
        <v>0</v>
      </c>
      <c r="AM17" s="75">
        <f t="shared" si="7"/>
        <v>2</v>
      </c>
      <c r="AN17" s="75"/>
      <c r="AO17" s="75"/>
      <c r="AP17" s="76" t="e">
        <f>+VLOOKUP($A17,#REF!,2,FALSE)</f>
        <v>#REF!</v>
      </c>
    </row>
    <row r="18" spans="1:42" s="77" customFormat="1">
      <c r="A18" s="78" t="s">
        <v>71</v>
      </c>
      <c r="B18" s="72">
        <v>201786</v>
      </c>
      <c r="C18" s="92">
        <v>234.42</v>
      </c>
      <c r="D18" s="92">
        <v>0</v>
      </c>
      <c r="E18" s="92">
        <v>0</v>
      </c>
      <c r="F18" s="92">
        <v>0</v>
      </c>
      <c r="G18" s="92">
        <v>0</v>
      </c>
      <c r="H18" s="92">
        <f t="shared" si="8"/>
        <v>234.42</v>
      </c>
      <c r="I18" s="72">
        <v>200295</v>
      </c>
      <c r="J18" s="72">
        <v>200295</v>
      </c>
      <c r="K18" s="72">
        <f t="shared" si="4"/>
        <v>0</v>
      </c>
      <c r="L18" s="72">
        <v>1490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f t="shared" si="9"/>
        <v>402080</v>
      </c>
      <c r="U18" s="73" t="s">
        <v>330</v>
      </c>
      <c r="V18" s="117"/>
      <c r="W18" s="74"/>
      <c r="X18" s="75">
        <f t="shared" si="6"/>
        <v>1.1617257887068478E-3</v>
      </c>
      <c r="Y18" s="75">
        <f t="shared" si="6"/>
        <v>0</v>
      </c>
      <c r="Z18" s="75">
        <f t="shared" si="6"/>
        <v>0</v>
      </c>
      <c r="AA18" s="75">
        <f t="shared" si="6"/>
        <v>0</v>
      </c>
      <c r="AB18" s="75">
        <f t="shared" si="6"/>
        <v>0</v>
      </c>
      <c r="AC18" s="75">
        <f t="shared" si="6"/>
        <v>1.1617257887068478E-3</v>
      </c>
      <c r="AD18" s="75">
        <f t="shared" si="6"/>
        <v>0.9926109839136511</v>
      </c>
      <c r="AE18" s="75">
        <f t="shared" si="7"/>
        <v>7.3840603411534991E-3</v>
      </c>
      <c r="AF18" s="75">
        <f t="shared" si="7"/>
        <v>0</v>
      </c>
      <c r="AG18" s="75">
        <f t="shared" si="7"/>
        <v>0</v>
      </c>
      <c r="AH18" s="75">
        <f t="shared" si="7"/>
        <v>0</v>
      </c>
      <c r="AI18" s="75">
        <f t="shared" si="7"/>
        <v>0</v>
      </c>
      <c r="AJ18" s="75">
        <f t="shared" si="7"/>
        <v>0</v>
      </c>
      <c r="AK18" s="75">
        <f t="shared" si="7"/>
        <v>0</v>
      </c>
      <c r="AL18" s="75">
        <f t="shared" si="7"/>
        <v>0</v>
      </c>
      <c r="AM18" s="75">
        <f t="shared" si="7"/>
        <v>1.9926060281684557</v>
      </c>
      <c r="AN18" s="75"/>
      <c r="AO18" s="75"/>
      <c r="AP18" s="76" t="e">
        <f>+VLOOKUP($A18,#REF!,2,FALSE)</f>
        <v>#REF!</v>
      </c>
    </row>
    <row r="19" spans="1:42" s="77" customFormat="1">
      <c r="A19" s="120" t="s">
        <v>205</v>
      </c>
      <c r="B19" s="72">
        <v>47671</v>
      </c>
      <c r="C19" s="92">
        <v>62.6</v>
      </c>
      <c r="D19" s="92">
        <v>14.559999999999995</v>
      </c>
      <c r="E19" s="92">
        <v>1.8200000000000012</v>
      </c>
      <c r="F19" s="92">
        <v>33.211999999999996</v>
      </c>
      <c r="G19" s="92">
        <v>21.659899999999993</v>
      </c>
      <c r="H19" s="92">
        <f t="shared" si="8"/>
        <v>133.8519</v>
      </c>
      <c r="I19" s="72">
        <v>47511</v>
      </c>
      <c r="J19" s="72">
        <v>47511</v>
      </c>
      <c r="K19" s="72">
        <f t="shared" si="4"/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160</v>
      </c>
      <c r="R19" s="72">
        <v>0</v>
      </c>
      <c r="S19" s="72">
        <v>0</v>
      </c>
      <c r="T19" s="72">
        <f t="shared" si="9"/>
        <v>95182</v>
      </c>
      <c r="U19" s="73" t="s">
        <v>330</v>
      </c>
      <c r="V19" s="116"/>
      <c r="W19" s="74"/>
      <c r="X19" s="75">
        <f t="shared" si="6"/>
        <v>1.3131673344381281E-3</v>
      </c>
      <c r="Y19" s="75">
        <f t="shared" si="6"/>
        <v>3.0542677938369227E-4</v>
      </c>
      <c r="Z19" s="75">
        <f t="shared" si="6"/>
        <v>3.8178347422961574E-5</v>
      </c>
      <c r="AA19" s="75">
        <f t="shared" si="6"/>
        <v>6.9669190912714221E-4</v>
      </c>
      <c r="AB19" s="75">
        <f t="shared" si="6"/>
        <v>4.5436219084978274E-4</v>
      </c>
      <c r="AC19" s="75">
        <f t="shared" si="6"/>
        <v>2.8078265612217069E-3</v>
      </c>
      <c r="AD19" s="75">
        <f t="shared" si="6"/>
        <v>0.9966436617650144</v>
      </c>
      <c r="AE19" s="75">
        <f t="shared" si="7"/>
        <v>0</v>
      </c>
      <c r="AF19" s="75">
        <f t="shared" si="7"/>
        <v>0</v>
      </c>
      <c r="AG19" s="75">
        <f t="shared" si="7"/>
        <v>0</v>
      </c>
      <c r="AH19" s="75">
        <f t="shared" si="7"/>
        <v>0</v>
      </c>
      <c r="AI19" s="75">
        <f t="shared" si="7"/>
        <v>0</v>
      </c>
      <c r="AJ19" s="75">
        <f t="shared" si="7"/>
        <v>3.3563382349856307E-3</v>
      </c>
      <c r="AK19" s="75">
        <f t="shared" si="7"/>
        <v>0</v>
      </c>
      <c r="AL19" s="75">
        <f t="shared" si="7"/>
        <v>0</v>
      </c>
      <c r="AM19" s="75">
        <f t="shared" si="7"/>
        <v>1.9966436617650143</v>
      </c>
      <c r="AN19" s="75"/>
      <c r="AO19" s="75"/>
      <c r="AP19" s="76" t="e">
        <f>+VLOOKUP($A19,#REF!,2,FALSE)</f>
        <v>#REF!</v>
      </c>
    </row>
    <row r="20" spans="1:42" s="77" customFormat="1">
      <c r="A20" s="78" t="s">
        <v>72</v>
      </c>
      <c r="B20" s="72">
        <v>171543</v>
      </c>
      <c r="C20" s="92">
        <v>44.03</v>
      </c>
      <c r="D20" s="92">
        <v>12.775</v>
      </c>
      <c r="E20" s="92">
        <v>0</v>
      </c>
      <c r="F20" s="92">
        <v>0</v>
      </c>
      <c r="G20" s="92">
        <v>0</v>
      </c>
      <c r="H20" s="92">
        <f t="shared" si="8"/>
        <v>56.805</v>
      </c>
      <c r="I20" s="72">
        <v>156467</v>
      </c>
      <c r="J20" s="72">
        <v>147698</v>
      </c>
      <c r="K20" s="72">
        <f t="shared" si="4"/>
        <v>-8769</v>
      </c>
      <c r="L20" s="72">
        <v>2970</v>
      </c>
      <c r="M20" s="72">
        <v>0</v>
      </c>
      <c r="N20" s="72">
        <v>0</v>
      </c>
      <c r="O20" s="72">
        <v>5836</v>
      </c>
      <c r="P20" s="72">
        <v>0</v>
      </c>
      <c r="Q20" s="72">
        <v>3348</v>
      </c>
      <c r="R20" s="72">
        <v>0</v>
      </c>
      <c r="S20" s="72">
        <v>0</v>
      </c>
      <c r="T20" s="72">
        <f t="shared" si="9"/>
        <v>307550</v>
      </c>
      <c r="U20" s="73" t="s">
        <v>330</v>
      </c>
      <c r="V20" s="117"/>
      <c r="W20" s="74"/>
      <c r="X20" s="75">
        <f t="shared" si="6"/>
        <v>2.566703392152405E-4</v>
      </c>
      <c r="Y20" s="75">
        <f t="shared" si="6"/>
        <v>7.4471123858158009E-5</v>
      </c>
      <c r="Z20" s="75">
        <f t="shared" si="6"/>
        <v>0</v>
      </c>
      <c r="AA20" s="75">
        <f t="shared" si="6"/>
        <v>0</v>
      </c>
      <c r="AB20" s="75">
        <f t="shared" si="6"/>
        <v>0</v>
      </c>
      <c r="AC20" s="75">
        <f t="shared" si="6"/>
        <v>3.3114146307339849E-4</v>
      </c>
      <c r="AD20" s="75">
        <f t="shared" si="6"/>
        <v>0.91211532968410258</v>
      </c>
      <c r="AE20" s="75">
        <f t="shared" si="7"/>
        <v>1.7313443276612862E-2</v>
      </c>
      <c r="AF20" s="75">
        <f t="shared" si="7"/>
        <v>0</v>
      </c>
      <c r="AG20" s="75">
        <f t="shared" si="7"/>
        <v>0</v>
      </c>
      <c r="AH20" s="75">
        <f t="shared" si="7"/>
        <v>3.4020624566435238E-2</v>
      </c>
      <c r="AI20" s="75">
        <f t="shared" si="7"/>
        <v>0</v>
      </c>
      <c r="AJ20" s="75">
        <f t="shared" si="7"/>
        <v>1.9516972420909044E-2</v>
      </c>
      <c r="AK20" s="75">
        <f t="shared" si="7"/>
        <v>0</v>
      </c>
      <c r="AL20" s="75">
        <f t="shared" si="7"/>
        <v>0</v>
      </c>
      <c r="AM20" s="75">
        <f t="shared" si="7"/>
        <v>1.7928449426674362</v>
      </c>
      <c r="AN20" s="75"/>
      <c r="AO20" s="75"/>
      <c r="AP20" s="76" t="e">
        <f>+VLOOKUP($A20,#REF!,2,FALSE)</f>
        <v>#REF!</v>
      </c>
    </row>
    <row r="21" spans="1:42" s="77" customFormat="1">
      <c r="A21" s="78" t="s">
        <v>206</v>
      </c>
      <c r="B21" s="72">
        <v>61748</v>
      </c>
      <c r="C21" s="92">
        <v>91</v>
      </c>
      <c r="D21" s="92">
        <v>6.5</v>
      </c>
      <c r="E21" s="92">
        <v>0</v>
      </c>
      <c r="F21" s="92">
        <v>3</v>
      </c>
      <c r="G21" s="92">
        <v>0</v>
      </c>
      <c r="H21" s="92">
        <f t="shared" si="8"/>
        <v>100.5</v>
      </c>
      <c r="I21" s="72">
        <f>66780-5032</f>
        <v>61748</v>
      </c>
      <c r="J21" s="72">
        <v>61748</v>
      </c>
      <c r="K21" s="72">
        <f t="shared" si="4"/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f t="shared" si="9"/>
        <v>123496</v>
      </c>
      <c r="U21" s="73" t="s">
        <v>330</v>
      </c>
      <c r="V21" s="117"/>
      <c r="W21" s="74"/>
      <c r="X21" s="75">
        <f t="shared" si="6"/>
        <v>1.4737319427349873E-3</v>
      </c>
      <c r="Y21" s="75">
        <f t="shared" si="6"/>
        <v>1.0526656733821339E-4</v>
      </c>
      <c r="Z21" s="75">
        <f t="shared" si="6"/>
        <v>0</v>
      </c>
      <c r="AA21" s="75">
        <f t="shared" si="6"/>
        <v>4.8584569540713867E-5</v>
      </c>
      <c r="AB21" s="75">
        <f t="shared" si="6"/>
        <v>0</v>
      </c>
      <c r="AC21" s="75">
        <f t="shared" si="6"/>
        <v>1.6275830796139146E-3</v>
      </c>
      <c r="AD21" s="75">
        <f t="shared" si="6"/>
        <v>1</v>
      </c>
      <c r="AE21" s="75">
        <f t="shared" si="7"/>
        <v>0</v>
      </c>
      <c r="AF21" s="75">
        <f t="shared" si="7"/>
        <v>0</v>
      </c>
      <c r="AG21" s="75">
        <f t="shared" si="7"/>
        <v>0</v>
      </c>
      <c r="AH21" s="75">
        <f t="shared" si="7"/>
        <v>0</v>
      </c>
      <c r="AI21" s="75">
        <f t="shared" si="7"/>
        <v>0</v>
      </c>
      <c r="AJ21" s="75">
        <f t="shared" si="7"/>
        <v>0</v>
      </c>
      <c r="AK21" s="75">
        <f t="shared" si="7"/>
        <v>0</v>
      </c>
      <c r="AL21" s="75">
        <f t="shared" si="7"/>
        <v>0</v>
      </c>
      <c r="AM21" s="75">
        <f t="shared" si="7"/>
        <v>2</v>
      </c>
      <c r="AN21" s="75"/>
      <c r="AO21" s="75"/>
      <c r="AP21" s="76" t="e">
        <f>+VLOOKUP($A21,#REF!,2,FALSE)</f>
        <v>#REF!</v>
      </c>
    </row>
    <row r="22" spans="1:42" s="77" customFormat="1">
      <c r="A22" s="80" t="s">
        <v>9</v>
      </c>
      <c r="B22" s="90">
        <f>SUM(B15:B21)</f>
        <v>635915.62009486498</v>
      </c>
      <c r="C22" s="93">
        <f t="shared" ref="C22:T22" si="10">SUM(C15:C21)</f>
        <v>567.23699999999997</v>
      </c>
      <c r="D22" s="93">
        <f t="shared" si="10"/>
        <v>34.825999999999993</v>
      </c>
      <c r="E22" s="93">
        <f t="shared" si="10"/>
        <v>1.8200000000000012</v>
      </c>
      <c r="F22" s="93">
        <f t="shared" si="10"/>
        <v>36.511999999999993</v>
      </c>
      <c r="G22" s="93">
        <f t="shared" si="10"/>
        <v>21.659899999999993</v>
      </c>
      <c r="H22" s="93">
        <f t="shared" si="10"/>
        <v>662.05489999999998</v>
      </c>
      <c r="I22" s="90">
        <f t="shared" si="10"/>
        <v>616321</v>
      </c>
      <c r="J22" s="90">
        <f t="shared" si="10"/>
        <v>609356.62009486498</v>
      </c>
      <c r="K22" s="90">
        <f t="shared" si="10"/>
        <v>-6964.3799051349997</v>
      </c>
      <c r="L22" s="90">
        <f t="shared" si="10"/>
        <v>4460</v>
      </c>
      <c r="M22" s="90">
        <f t="shared" si="10"/>
        <v>0</v>
      </c>
      <c r="N22" s="90">
        <f t="shared" si="10"/>
        <v>0</v>
      </c>
      <c r="O22" s="90">
        <f t="shared" si="10"/>
        <v>5836</v>
      </c>
      <c r="P22" s="90">
        <f t="shared" si="10"/>
        <v>0</v>
      </c>
      <c r="Q22" s="90">
        <f t="shared" si="10"/>
        <v>3508</v>
      </c>
      <c r="R22" s="90">
        <f t="shared" si="10"/>
        <v>0</v>
      </c>
      <c r="S22" s="90">
        <f t="shared" si="10"/>
        <v>0</v>
      </c>
      <c r="T22" s="90">
        <f t="shared" si="10"/>
        <v>1232517.24018973</v>
      </c>
      <c r="U22" s="80"/>
      <c r="V22" s="117"/>
      <c r="W22" s="74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6"/>
    </row>
    <row r="23" spans="1:42" s="77" customFormat="1">
      <c r="A23" s="81" t="s">
        <v>337</v>
      </c>
      <c r="B23" s="72"/>
      <c r="C23" s="92"/>
      <c r="D23" s="92"/>
      <c r="E23" s="92"/>
      <c r="F23" s="92"/>
      <c r="G23" s="92"/>
      <c r="H23" s="9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3"/>
      <c r="V23" s="117"/>
      <c r="W23" s="74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</row>
    <row r="24" spans="1:42" s="77" customFormat="1" ht="43.5">
      <c r="A24" s="78" t="s">
        <v>157</v>
      </c>
      <c r="B24" s="72">
        <v>85200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f>SUM(C24:G24)</f>
        <v>0</v>
      </c>
      <c r="I24" s="72">
        <f>106500-21300</f>
        <v>85200</v>
      </c>
      <c r="J24" s="72">
        <v>84950</v>
      </c>
      <c r="K24" s="72">
        <f t="shared" si="4"/>
        <v>-250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f>SUM(I24:S24)</f>
        <v>169900</v>
      </c>
      <c r="U24" s="73" t="s">
        <v>352</v>
      </c>
      <c r="V24" s="117"/>
      <c r="W24" s="74"/>
      <c r="X24" s="75">
        <f t="shared" ref="X24:X33" si="11">+C24/$B24</f>
        <v>0</v>
      </c>
      <c r="Y24" s="75">
        <f t="shared" ref="Y24:Y33" si="12">+D24/$B24</f>
        <v>0</v>
      </c>
      <c r="Z24" s="75">
        <f t="shared" ref="Z24:Z33" si="13">+E24/$B24</f>
        <v>0</v>
      </c>
      <c r="AA24" s="75">
        <f t="shared" ref="AA24:AA33" si="14">+F24/$B24</f>
        <v>0</v>
      </c>
      <c r="AB24" s="75">
        <f t="shared" ref="AB24:AB33" si="15">+G24/$B24</f>
        <v>0</v>
      </c>
      <c r="AC24" s="75">
        <f t="shared" ref="AC24:AC33" si="16">+H24/$B24</f>
        <v>0</v>
      </c>
      <c r="AD24" s="75">
        <f t="shared" ref="AD24:AD33" si="17">+I24/$B24</f>
        <v>1</v>
      </c>
      <c r="AE24" s="75">
        <f t="shared" ref="AE24:AM33" si="18">+L24/$B24</f>
        <v>0</v>
      </c>
      <c r="AF24" s="75">
        <f t="shared" si="18"/>
        <v>0</v>
      </c>
      <c r="AG24" s="75">
        <f t="shared" si="18"/>
        <v>0</v>
      </c>
      <c r="AH24" s="75">
        <f t="shared" si="18"/>
        <v>0</v>
      </c>
      <c r="AI24" s="75">
        <f t="shared" si="18"/>
        <v>0</v>
      </c>
      <c r="AJ24" s="75">
        <f t="shared" si="18"/>
        <v>0</v>
      </c>
      <c r="AK24" s="75">
        <f t="shared" si="18"/>
        <v>0</v>
      </c>
      <c r="AL24" s="75">
        <f t="shared" si="18"/>
        <v>0</v>
      </c>
      <c r="AM24" s="75">
        <f t="shared" si="18"/>
        <v>1.994131455399061</v>
      </c>
      <c r="AN24" s="75"/>
      <c r="AO24" s="75"/>
      <c r="AP24" s="76" t="e">
        <f>+VLOOKUP($A24,#REF!,2,FALSE)</f>
        <v>#REF!</v>
      </c>
    </row>
    <row r="25" spans="1:42" s="77" customFormat="1" ht="43.5">
      <c r="A25" s="78" t="s">
        <v>267</v>
      </c>
      <c r="B25" s="72">
        <v>129696</v>
      </c>
      <c r="C25" s="92">
        <v>73.53</v>
      </c>
      <c r="D25" s="92">
        <v>0</v>
      </c>
      <c r="E25" s="92">
        <v>0</v>
      </c>
      <c r="F25" s="92">
        <v>0</v>
      </c>
      <c r="G25" s="92">
        <v>0</v>
      </c>
      <c r="H25" s="92">
        <f t="shared" ref="H25:H33" si="19">SUM(C25:G25)</f>
        <v>73.53</v>
      </c>
      <c r="I25" s="72">
        <v>57947</v>
      </c>
      <c r="J25" s="72">
        <v>59266</v>
      </c>
      <c r="K25" s="72">
        <f t="shared" si="4"/>
        <v>1319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f t="shared" ref="T25:T33" si="20">SUM(I25:S25)</f>
        <v>118532</v>
      </c>
      <c r="U25" s="73" t="s">
        <v>352</v>
      </c>
      <c r="V25" s="117"/>
      <c r="W25" s="74"/>
      <c r="X25" s="75">
        <f t="shared" si="11"/>
        <v>5.6694115470022209E-4</v>
      </c>
      <c r="Y25" s="75">
        <f t="shared" si="12"/>
        <v>0</v>
      </c>
      <c r="Z25" s="75">
        <f t="shared" si="13"/>
        <v>0</v>
      </c>
      <c r="AA25" s="75">
        <f t="shared" si="14"/>
        <v>0</v>
      </c>
      <c r="AB25" s="75">
        <f t="shared" si="15"/>
        <v>0</v>
      </c>
      <c r="AC25" s="75">
        <f t="shared" si="16"/>
        <v>5.6694115470022209E-4</v>
      </c>
      <c r="AD25" s="75">
        <f t="shared" si="17"/>
        <v>0.44679095731556873</v>
      </c>
      <c r="AE25" s="75">
        <f t="shared" si="18"/>
        <v>0</v>
      </c>
      <c r="AF25" s="75">
        <f t="shared" si="18"/>
        <v>0</v>
      </c>
      <c r="AG25" s="75">
        <f t="shared" si="18"/>
        <v>0</v>
      </c>
      <c r="AH25" s="75">
        <f t="shared" si="18"/>
        <v>0</v>
      </c>
      <c r="AI25" s="75">
        <f t="shared" si="18"/>
        <v>0</v>
      </c>
      <c r="AJ25" s="75">
        <f t="shared" si="18"/>
        <v>0</v>
      </c>
      <c r="AK25" s="75">
        <f t="shared" si="18"/>
        <v>0</v>
      </c>
      <c r="AL25" s="75">
        <f t="shared" si="18"/>
        <v>0</v>
      </c>
      <c r="AM25" s="75">
        <f t="shared" si="18"/>
        <v>0.91392178633111276</v>
      </c>
      <c r="AN25" s="75"/>
      <c r="AO25" s="75"/>
      <c r="AP25" s="76" t="e">
        <f>+VLOOKUP($A25,#REF!,2,FALSE)</f>
        <v>#REF!</v>
      </c>
    </row>
    <row r="26" spans="1:42" s="77" customFormat="1" ht="43.5">
      <c r="A26" s="78" t="s">
        <v>153</v>
      </c>
      <c r="B26" s="72">
        <v>229432</v>
      </c>
      <c r="C26" s="92">
        <v>635.62</v>
      </c>
      <c r="D26" s="92">
        <v>2.17</v>
      </c>
      <c r="E26" s="92">
        <v>0</v>
      </c>
      <c r="F26" s="92">
        <v>0</v>
      </c>
      <c r="G26" s="92">
        <v>0</v>
      </c>
      <c r="H26" s="92">
        <f t="shared" si="19"/>
        <v>637.79</v>
      </c>
      <c r="I26" s="72">
        <f>596823-367391</f>
        <v>229432</v>
      </c>
      <c r="J26" s="72">
        <v>229432</v>
      </c>
      <c r="K26" s="72">
        <f t="shared" si="4"/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f t="shared" si="20"/>
        <v>458864</v>
      </c>
      <c r="U26" s="73" t="s">
        <v>352</v>
      </c>
      <c r="V26" s="117"/>
      <c r="W26" s="74"/>
      <c r="X26" s="75">
        <f t="shared" si="11"/>
        <v>2.7704069179539034E-3</v>
      </c>
      <c r="Y26" s="75">
        <f t="shared" si="12"/>
        <v>9.4581401025140339E-6</v>
      </c>
      <c r="Z26" s="75">
        <f t="shared" si="13"/>
        <v>0</v>
      </c>
      <c r="AA26" s="75">
        <f t="shared" si="14"/>
        <v>0</v>
      </c>
      <c r="AB26" s="75">
        <f t="shared" si="15"/>
        <v>0</v>
      </c>
      <c r="AC26" s="75">
        <f t="shared" si="16"/>
        <v>2.7798650580564176E-3</v>
      </c>
      <c r="AD26" s="75">
        <f t="shared" si="17"/>
        <v>1</v>
      </c>
      <c r="AE26" s="75">
        <f t="shared" si="18"/>
        <v>0</v>
      </c>
      <c r="AF26" s="75">
        <f t="shared" si="18"/>
        <v>0</v>
      </c>
      <c r="AG26" s="75">
        <f t="shared" si="18"/>
        <v>0</v>
      </c>
      <c r="AH26" s="75">
        <f t="shared" si="18"/>
        <v>0</v>
      </c>
      <c r="AI26" s="75">
        <f t="shared" si="18"/>
        <v>0</v>
      </c>
      <c r="AJ26" s="75">
        <f t="shared" si="18"/>
        <v>0</v>
      </c>
      <c r="AK26" s="75">
        <f t="shared" si="18"/>
        <v>0</v>
      </c>
      <c r="AL26" s="75">
        <f t="shared" si="18"/>
        <v>0</v>
      </c>
      <c r="AM26" s="75">
        <f t="shared" si="18"/>
        <v>2</v>
      </c>
      <c r="AN26" s="75"/>
      <c r="AO26" s="75"/>
      <c r="AP26" s="76" t="e">
        <f>+VLOOKUP($A26,#REF!,2,FALSE)</f>
        <v>#REF!</v>
      </c>
    </row>
    <row r="27" spans="1:42" s="77" customFormat="1" ht="43.5">
      <c r="A27" s="79" t="s">
        <v>110</v>
      </c>
      <c r="B27" s="72">
        <v>122078</v>
      </c>
      <c r="C27" s="92">
        <v>291.2</v>
      </c>
      <c r="D27" s="92">
        <v>2.9</v>
      </c>
      <c r="E27" s="92">
        <v>0</v>
      </c>
      <c r="F27" s="92">
        <v>0.26</v>
      </c>
      <c r="G27" s="92">
        <v>0.05</v>
      </c>
      <c r="H27" s="92">
        <f t="shared" si="19"/>
        <v>294.40999999999997</v>
      </c>
      <c r="I27" s="72">
        <f>246500-133422</f>
        <v>113078</v>
      </c>
      <c r="J27" s="72">
        <v>113078</v>
      </c>
      <c r="K27" s="72">
        <f t="shared" si="4"/>
        <v>0</v>
      </c>
      <c r="L27" s="72">
        <v>1000</v>
      </c>
      <c r="M27" s="72">
        <v>0</v>
      </c>
      <c r="N27" s="72">
        <v>8000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f t="shared" si="20"/>
        <v>235156</v>
      </c>
      <c r="U27" s="73" t="s">
        <v>352</v>
      </c>
      <c r="V27" s="117"/>
      <c r="W27" s="74"/>
      <c r="X27" s="75">
        <f t="shared" si="11"/>
        <v>2.3853601795573321E-3</v>
      </c>
      <c r="Y27" s="75">
        <f t="shared" si="12"/>
        <v>2.3755303985976177E-5</v>
      </c>
      <c r="Z27" s="75">
        <f t="shared" si="13"/>
        <v>0</v>
      </c>
      <c r="AA27" s="75">
        <f t="shared" si="14"/>
        <v>2.1297858746047609E-6</v>
      </c>
      <c r="AB27" s="75">
        <f t="shared" si="15"/>
        <v>4.0957420665476175E-7</v>
      </c>
      <c r="AC27" s="75">
        <f t="shared" si="16"/>
        <v>2.4116548436245678E-3</v>
      </c>
      <c r="AD27" s="75">
        <f t="shared" si="17"/>
        <v>0.92627664280214295</v>
      </c>
      <c r="AE27" s="75">
        <f t="shared" si="18"/>
        <v>8.1914841330952334E-3</v>
      </c>
      <c r="AF27" s="75">
        <f t="shared" si="18"/>
        <v>0</v>
      </c>
      <c r="AG27" s="75">
        <f t="shared" si="18"/>
        <v>6.5531873064761867E-2</v>
      </c>
      <c r="AH27" s="75">
        <f t="shared" si="18"/>
        <v>0</v>
      </c>
      <c r="AI27" s="75">
        <f t="shared" si="18"/>
        <v>0</v>
      </c>
      <c r="AJ27" s="75">
        <f t="shared" si="18"/>
        <v>0</v>
      </c>
      <c r="AK27" s="75">
        <f t="shared" si="18"/>
        <v>0</v>
      </c>
      <c r="AL27" s="75">
        <f t="shared" si="18"/>
        <v>0</v>
      </c>
      <c r="AM27" s="75">
        <f t="shared" si="18"/>
        <v>1.9262766428021429</v>
      </c>
      <c r="AN27" s="75"/>
      <c r="AO27" s="75"/>
      <c r="AP27" s="76" t="e">
        <f>+VLOOKUP($A27,#REF!,2,FALSE)</f>
        <v>#REF!</v>
      </c>
    </row>
    <row r="28" spans="1:42" s="77" customFormat="1" ht="65.25">
      <c r="A28" s="78" t="s">
        <v>159</v>
      </c>
      <c r="B28" s="72">
        <v>95750</v>
      </c>
      <c r="C28" s="92">
        <v>109.8</v>
      </c>
      <c r="D28" s="92">
        <v>0</v>
      </c>
      <c r="E28" s="92">
        <v>0</v>
      </c>
      <c r="F28" s="92">
        <v>0</v>
      </c>
      <c r="G28" s="92">
        <v>0</v>
      </c>
      <c r="H28" s="92">
        <f t="shared" si="19"/>
        <v>109.8</v>
      </c>
      <c r="I28" s="72">
        <f>95750-1236</f>
        <v>94514</v>
      </c>
      <c r="J28" s="72">
        <v>95750</v>
      </c>
      <c r="K28" s="72">
        <f t="shared" si="4"/>
        <v>1236</v>
      </c>
      <c r="L28" s="72">
        <v>232</v>
      </c>
      <c r="M28" s="72">
        <v>0</v>
      </c>
      <c r="N28" s="72">
        <v>0</v>
      </c>
      <c r="O28" s="72">
        <v>0</v>
      </c>
      <c r="P28" s="72">
        <v>975.6</v>
      </c>
      <c r="Q28" s="72">
        <v>0</v>
      </c>
      <c r="R28" s="72">
        <v>0</v>
      </c>
      <c r="S28" s="72">
        <v>28.13</v>
      </c>
      <c r="T28" s="72">
        <f t="shared" si="20"/>
        <v>192735.73</v>
      </c>
      <c r="U28" s="73" t="s">
        <v>351</v>
      </c>
      <c r="V28" s="117"/>
      <c r="W28" s="74"/>
      <c r="X28" s="75">
        <f t="shared" si="11"/>
        <v>1.1467362924281984E-3</v>
      </c>
      <c r="Y28" s="75">
        <f t="shared" si="12"/>
        <v>0</v>
      </c>
      <c r="Z28" s="75">
        <f t="shared" si="13"/>
        <v>0</v>
      </c>
      <c r="AA28" s="75">
        <f t="shared" si="14"/>
        <v>0</v>
      </c>
      <c r="AB28" s="75">
        <f t="shared" si="15"/>
        <v>0</v>
      </c>
      <c r="AC28" s="75">
        <f t="shared" si="16"/>
        <v>1.1467362924281984E-3</v>
      </c>
      <c r="AD28" s="75">
        <f t="shared" si="17"/>
        <v>0.98709138381201045</v>
      </c>
      <c r="AE28" s="75">
        <f t="shared" si="18"/>
        <v>2.4229765013054831E-3</v>
      </c>
      <c r="AF28" s="75">
        <f t="shared" si="18"/>
        <v>0</v>
      </c>
      <c r="AG28" s="75">
        <f t="shared" si="18"/>
        <v>0</v>
      </c>
      <c r="AH28" s="75">
        <f t="shared" si="18"/>
        <v>0</v>
      </c>
      <c r="AI28" s="75">
        <f t="shared" si="18"/>
        <v>1.0189033942558746E-2</v>
      </c>
      <c r="AJ28" s="75">
        <f t="shared" si="18"/>
        <v>0</v>
      </c>
      <c r="AK28" s="75">
        <f t="shared" si="18"/>
        <v>0</v>
      </c>
      <c r="AL28" s="75">
        <f t="shared" si="18"/>
        <v>2.9378590078328983E-4</v>
      </c>
      <c r="AM28" s="75">
        <f t="shared" si="18"/>
        <v>2.0129057963446475</v>
      </c>
      <c r="AN28" s="75"/>
      <c r="AO28" s="75"/>
      <c r="AP28" s="76" t="e">
        <f>+VLOOKUP($A28,#REF!,2,FALSE)</f>
        <v>#REF!</v>
      </c>
    </row>
    <row r="29" spans="1:42" s="77" customFormat="1" ht="65.25">
      <c r="A29" s="78" t="s">
        <v>160</v>
      </c>
      <c r="B29" s="72">
        <v>223813</v>
      </c>
      <c r="C29" s="92">
        <v>243</v>
      </c>
      <c r="D29" s="92">
        <v>0</v>
      </c>
      <c r="E29" s="92">
        <v>0</v>
      </c>
      <c r="F29" s="92">
        <v>0</v>
      </c>
      <c r="G29" s="92">
        <v>0</v>
      </c>
      <c r="H29" s="92">
        <f t="shared" si="19"/>
        <v>243</v>
      </c>
      <c r="I29" s="72">
        <v>221133</v>
      </c>
      <c r="J29" s="72">
        <v>209004</v>
      </c>
      <c r="K29" s="72">
        <f t="shared" si="4"/>
        <v>-12129</v>
      </c>
      <c r="L29" s="72">
        <v>0</v>
      </c>
      <c r="M29" s="72">
        <v>0</v>
      </c>
      <c r="N29" s="72">
        <v>1200</v>
      </c>
      <c r="O29" s="72">
        <v>709</v>
      </c>
      <c r="P29" s="72">
        <v>0</v>
      </c>
      <c r="Q29" s="72">
        <v>771</v>
      </c>
      <c r="R29" s="72">
        <v>0</v>
      </c>
      <c r="S29" s="72">
        <v>0</v>
      </c>
      <c r="T29" s="72">
        <f t="shared" si="20"/>
        <v>420688</v>
      </c>
      <c r="U29" s="73" t="s">
        <v>351</v>
      </c>
      <c r="V29" s="117"/>
      <c r="W29" s="74"/>
      <c r="X29" s="75">
        <f t="shared" si="11"/>
        <v>1.0857278174190061E-3</v>
      </c>
      <c r="Y29" s="75">
        <f t="shared" si="12"/>
        <v>0</v>
      </c>
      <c r="Z29" s="75">
        <f t="shared" si="13"/>
        <v>0</v>
      </c>
      <c r="AA29" s="75">
        <f t="shared" si="14"/>
        <v>0</v>
      </c>
      <c r="AB29" s="75">
        <f t="shared" si="15"/>
        <v>0</v>
      </c>
      <c r="AC29" s="75">
        <f t="shared" si="16"/>
        <v>1.0857278174190061E-3</v>
      </c>
      <c r="AD29" s="75">
        <f t="shared" si="17"/>
        <v>0.98802571789842408</v>
      </c>
      <c r="AE29" s="75">
        <f t="shared" si="18"/>
        <v>0</v>
      </c>
      <c r="AF29" s="75">
        <f t="shared" si="18"/>
        <v>0</v>
      </c>
      <c r="AG29" s="75">
        <f t="shared" si="18"/>
        <v>5.3616188514518815E-3</v>
      </c>
      <c r="AH29" s="75">
        <f t="shared" si="18"/>
        <v>3.1678231380661533E-3</v>
      </c>
      <c r="AI29" s="75">
        <f t="shared" si="18"/>
        <v>0</v>
      </c>
      <c r="AJ29" s="75">
        <f t="shared" si="18"/>
        <v>3.4448401120578342E-3</v>
      </c>
      <c r="AK29" s="75">
        <f t="shared" si="18"/>
        <v>0</v>
      </c>
      <c r="AL29" s="75">
        <f t="shared" si="18"/>
        <v>0</v>
      </c>
      <c r="AM29" s="75">
        <f t="shared" si="18"/>
        <v>1.8796405928163245</v>
      </c>
      <c r="AN29" s="75"/>
      <c r="AO29" s="75"/>
      <c r="AP29" s="76" t="e">
        <f>+VLOOKUP($A29,#REF!,2,FALSE)</f>
        <v>#REF!</v>
      </c>
    </row>
    <row r="30" spans="1:42" s="77" customFormat="1" ht="43.5">
      <c r="A30" s="78" t="s">
        <v>154</v>
      </c>
      <c r="B30" s="72">
        <v>168125</v>
      </c>
      <c r="C30" s="92">
        <v>193.54</v>
      </c>
      <c r="D30" s="92">
        <v>0</v>
      </c>
      <c r="E30" s="92">
        <v>0</v>
      </c>
      <c r="F30" s="92">
        <v>0</v>
      </c>
      <c r="G30" s="92">
        <v>0</v>
      </c>
      <c r="H30" s="92">
        <f t="shared" si="19"/>
        <v>193.54</v>
      </c>
      <c r="I30" s="72">
        <v>168125</v>
      </c>
      <c r="J30" s="72">
        <v>156000</v>
      </c>
      <c r="K30" s="72">
        <f t="shared" si="4"/>
        <v>-12125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f t="shared" si="20"/>
        <v>312000</v>
      </c>
      <c r="U30" s="73" t="s">
        <v>352</v>
      </c>
      <c r="V30" s="117"/>
      <c r="W30" s="74"/>
      <c r="X30" s="75">
        <f t="shared" si="11"/>
        <v>1.1511672862453532E-3</v>
      </c>
      <c r="Y30" s="75">
        <f t="shared" si="12"/>
        <v>0</v>
      </c>
      <c r="Z30" s="75">
        <f t="shared" si="13"/>
        <v>0</v>
      </c>
      <c r="AA30" s="75">
        <f t="shared" si="14"/>
        <v>0</v>
      </c>
      <c r="AB30" s="75">
        <f t="shared" si="15"/>
        <v>0</v>
      </c>
      <c r="AC30" s="75">
        <f t="shared" si="16"/>
        <v>1.1511672862453532E-3</v>
      </c>
      <c r="AD30" s="75">
        <f t="shared" si="17"/>
        <v>1</v>
      </c>
      <c r="AE30" s="75">
        <f t="shared" si="18"/>
        <v>0</v>
      </c>
      <c r="AF30" s="75">
        <f t="shared" si="18"/>
        <v>0</v>
      </c>
      <c r="AG30" s="75">
        <f t="shared" si="18"/>
        <v>0</v>
      </c>
      <c r="AH30" s="75">
        <f t="shared" si="18"/>
        <v>0</v>
      </c>
      <c r="AI30" s="75">
        <f t="shared" si="18"/>
        <v>0</v>
      </c>
      <c r="AJ30" s="75">
        <f t="shared" si="18"/>
        <v>0</v>
      </c>
      <c r="AK30" s="75">
        <f t="shared" si="18"/>
        <v>0</v>
      </c>
      <c r="AL30" s="75">
        <f t="shared" si="18"/>
        <v>0</v>
      </c>
      <c r="AM30" s="75">
        <f t="shared" si="18"/>
        <v>1.8557620817843865</v>
      </c>
      <c r="AN30" s="75"/>
      <c r="AO30" s="75"/>
      <c r="AP30" s="76" t="e">
        <f>+VLOOKUP($A30,#REF!,2,FALSE)</f>
        <v>#REF!</v>
      </c>
    </row>
    <row r="31" spans="1:42" s="77" customFormat="1" ht="43.5">
      <c r="A31" s="78" t="s">
        <v>155</v>
      </c>
      <c r="B31" s="72">
        <v>201688</v>
      </c>
      <c r="C31" s="92">
        <v>157.94</v>
      </c>
      <c r="D31" s="92">
        <v>0</v>
      </c>
      <c r="E31" s="92">
        <v>0</v>
      </c>
      <c r="F31" s="92">
        <v>0</v>
      </c>
      <c r="G31" s="92">
        <v>0</v>
      </c>
      <c r="H31" s="92">
        <f t="shared" si="19"/>
        <v>157.94</v>
      </c>
      <c r="I31" s="72">
        <v>190318</v>
      </c>
      <c r="J31" s="72">
        <v>180408</v>
      </c>
      <c r="K31" s="72">
        <f t="shared" si="4"/>
        <v>-9910</v>
      </c>
      <c r="L31" s="72">
        <v>6104</v>
      </c>
      <c r="M31" s="72">
        <v>13</v>
      </c>
      <c r="N31" s="72">
        <v>44</v>
      </c>
      <c r="O31" s="72">
        <v>4960</v>
      </c>
      <c r="P31" s="72">
        <v>63</v>
      </c>
      <c r="Q31" s="72">
        <v>149</v>
      </c>
      <c r="R31" s="72">
        <v>0</v>
      </c>
      <c r="S31" s="72">
        <v>37</v>
      </c>
      <c r="T31" s="72">
        <f t="shared" si="20"/>
        <v>372186</v>
      </c>
      <c r="U31" s="73" t="s">
        <v>352</v>
      </c>
      <c r="V31" s="117"/>
      <c r="W31" s="74"/>
      <c r="X31" s="75">
        <f t="shared" si="11"/>
        <v>7.830907143707112E-4</v>
      </c>
      <c r="Y31" s="75">
        <f t="shared" si="12"/>
        <v>0</v>
      </c>
      <c r="Z31" s="75">
        <f t="shared" si="13"/>
        <v>0</v>
      </c>
      <c r="AA31" s="75">
        <f t="shared" si="14"/>
        <v>0</v>
      </c>
      <c r="AB31" s="75">
        <f t="shared" si="15"/>
        <v>0</v>
      </c>
      <c r="AC31" s="75">
        <f t="shared" si="16"/>
        <v>7.830907143707112E-4</v>
      </c>
      <c r="AD31" s="75">
        <f t="shared" si="17"/>
        <v>0.94362579826266313</v>
      </c>
      <c r="AE31" s="75">
        <f t="shared" si="18"/>
        <v>3.0264567054063704E-2</v>
      </c>
      <c r="AF31" s="75">
        <f t="shared" si="18"/>
        <v>6.4455991432311294E-5</v>
      </c>
      <c r="AG31" s="75">
        <f t="shared" si="18"/>
        <v>2.1815874023243823E-4</v>
      </c>
      <c r="AH31" s="75">
        <f t="shared" si="18"/>
        <v>2.4592439808020308E-2</v>
      </c>
      <c r="AI31" s="75">
        <f t="shared" si="18"/>
        <v>3.1236365078735474E-4</v>
      </c>
      <c r="AJ31" s="75">
        <f t="shared" si="18"/>
        <v>7.3876482487802942E-4</v>
      </c>
      <c r="AK31" s="75">
        <f t="shared" si="18"/>
        <v>0</v>
      </c>
      <c r="AL31" s="75">
        <f t="shared" si="18"/>
        <v>1.8345166792273215E-4</v>
      </c>
      <c r="AM31" s="75">
        <f t="shared" si="18"/>
        <v>1.8453552020943238</v>
      </c>
      <c r="AN31" s="75"/>
      <c r="AO31" s="75"/>
      <c r="AP31" s="76" t="e">
        <f>+VLOOKUP($A31,#REF!,2,FALSE)</f>
        <v>#REF!</v>
      </c>
    </row>
    <row r="32" spans="1:42" s="77" customFormat="1" ht="43.5">
      <c r="A32" s="120" t="s">
        <v>158</v>
      </c>
      <c r="B32" s="72">
        <v>160000</v>
      </c>
      <c r="C32" s="92">
        <v>172.64499999999998</v>
      </c>
      <c r="D32" s="92">
        <v>0.53400000000000003</v>
      </c>
      <c r="E32" s="92">
        <v>0.151</v>
      </c>
      <c r="F32" s="92">
        <v>15.898</v>
      </c>
      <c r="G32" s="92">
        <v>511.01299999999998</v>
      </c>
      <c r="H32" s="92">
        <f t="shared" si="19"/>
        <v>700.24099999999999</v>
      </c>
      <c r="I32" s="72">
        <f>174716-14716</f>
        <v>160000</v>
      </c>
      <c r="J32" s="72">
        <v>160000</v>
      </c>
      <c r="K32" s="72">
        <f t="shared" si="4"/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f t="shared" si="20"/>
        <v>320000</v>
      </c>
      <c r="U32" s="73" t="s">
        <v>352</v>
      </c>
      <c r="V32" s="117"/>
      <c r="W32" s="74"/>
      <c r="X32" s="75">
        <f t="shared" si="11"/>
        <v>1.0790312499999999E-3</v>
      </c>
      <c r="Y32" s="75">
        <f t="shared" si="12"/>
        <v>3.3375000000000002E-6</v>
      </c>
      <c r="Z32" s="75">
        <f t="shared" si="13"/>
        <v>9.4374999999999996E-7</v>
      </c>
      <c r="AA32" s="75">
        <f t="shared" si="14"/>
        <v>9.9362499999999996E-5</v>
      </c>
      <c r="AB32" s="75">
        <f t="shared" si="15"/>
        <v>3.1938312499999997E-3</v>
      </c>
      <c r="AC32" s="75">
        <f t="shared" si="16"/>
        <v>4.3765062499999995E-3</v>
      </c>
      <c r="AD32" s="75">
        <f t="shared" si="17"/>
        <v>1</v>
      </c>
      <c r="AE32" s="75">
        <f t="shared" si="18"/>
        <v>0</v>
      </c>
      <c r="AF32" s="75">
        <f t="shared" si="18"/>
        <v>0</v>
      </c>
      <c r="AG32" s="75">
        <f t="shared" si="18"/>
        <v>0</v>
      </c>
      <c r="AH32" s="75">
        <f t="shared" si="18"/>
        <v>0</v>
      </c>
      <c r="AI32" s="75">
        <f t="shared" si="18"/>
        <v>0</v>
      </c>
      <c r="AJ32" s="75">
        <f t="shared" si="18"/>
        <v>0</v>
      </c>
      <c r="AK32" s="75">
        <f t="shared" si="18"/>
        <v>0</v>
      </c>
      <c r="AL32" s="75">
        <f t="shared" si="18"/>
        <v>0</v>
      </c>
      <c r="AM32" s="75">
        <f t="shared" si="18"/>
        <v>2</v>
      </c>
      <c r="AN32" s="75"/>
      <c r="AO32" s="75"/>
      <c r="AP32" s="76" t="e">
        <f>+VLOOKUP($A32,#REF!,2,FALSE)</f>
        <v>#REF!</v>
      </c>
    </row>
    <row r="33" spans="1:42" s="77" customFormat="1" ht="65.25">
      <c r="A33" s="79" t="s">
        <v>161</v>
      </c>
      <c r="B33" s="72">
        <v>290000</v>
      </c>
      <c r="C33" s="92">
        <v>224</v>
      </c>
      <c r="D33" s="92">
        <v>0</v>
      </c>
      <c r="E33" s="92">
        <v>0</v>
      </c>
      <c r="F33" s="92">
        <v>0</v>
      </c>
      <c r="G33" s="92">
        <v>0</v>
      </c>
      <c r="H33" s="92">
        <f t="shared" si="19"/>
        <v>224</v>
      </c>
      <c r="I33" s="72">
        <f>290694-694</f>
        <v>290000</v>
      </c>
      <c r="J33" s="72">
        <v>205305</v>
      </c>
      <c r="K33" s="72">
        <f t="shared" si="4"/>
        <v>-84695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f t="shared" si="20"/>
        <v>410610</v>
      </c>
      <c r="U33" s="73" t="s">
        <v>351</v>
      </c>
      <c r="V33" s="117"/>
      <c r="W33" s="74"/>
      <c r="X33" s="75">
        <f t="shared" si="11"/>
        <v>7.7241379310344826E-4</v>
      </c>
      <c r="Y33" s="75">
        <f t="shared" si="12"/>
        <v>0</v>
      </c>
      <c r="Z33" s="75">
        <f t="shared" si="13"/>
        <v>0</v>
      </c>
      <c r="AA33" s="75">
        <f t="shared" si="14"/>
        <v>0</v>
      </c>
      <c r="AB33" s="75">
        <f t="shared" si="15"/>
        <v>0</v>
      </c>
      <c r="AC33" s="75">
        <f t="shared" si="16"/>
        <v>7.7241379310344826E-4</v>
      </c>
      <c r="AD33" s="75">
        <f t="shared" si="17"/>
        <v>1</v>
      </c>
      <c r="AE33" s="75">
        <f t="shared" si="18"/>
        <v>0</v>
      </c>
      <c r="AF33" s="75">
        <f t="shared" si="18"/>
        <v>0</v>
      </c>
      <c r="AG33" s="75">
        <f t="shared" si="18"/>
        <v>0</v>
      </c>
      <c r="AH33" s="75">
        <f t="shared" si="18"/>
        <v>0</v>
      </c>
      <c r="AI33" s="75">
        <f t="shared" si="18"/>
        <v>0</v>
      </c>
      <c r="AJ33" s="75">
        <f t="shared" si="18"/>
        <v>0</v>
      </c>
      <c r="AK33" s="75">
        <f t="shared" si="18"/>
        <v>0</v>
      </c>
      <c r="AL33" s="75">
        <f t="shared" si="18"/>
        <v>0</v>
      </c>
      <c r="AM33" s="75">
        <f t="shared" si="18"/>
        <v>1.415896551724138</v>
      </c>
      <c r="AN33" s="75"/>
      <c r="AO33" s="75"/>
      <c r="AP33" s="76" t="e">
        <f>+VLOOKUP($A33,#REF!,2,FALSE)</f>
        <v>#REF!</v>
      </c>
    </row>
    <row r="34" spans="1:42" s="77" customFormat="1">
      <c r="A34" s="80" t="s">
        <v>9</v>
      </c>
      <c r="B34" s="90">
        <f>SUM(B24:B33)</f>
        <v>1705782</v>
      </c>
      <c r="C34" s="93">
        <f t="shared" ref="C34:T34" si="21">SUM(C24:C33)</f>
        <v>2101.2749999999996</v>
      </c>
      <c r="D34" s="93">
        <f t="shared" si="21"/>
        <v>5.6040000000000001</v>
      </c>
      <c r="E34" s="93">
        <f t="shared" si="21"/>
        <v>0.151</v>
      </c>
      <c r="F34" s="93">
        <f t="shared" si="21"/>
        <v>16.158000000000001</v>
      </c>
      <c r="G34" s="93">
        <f t="shared" si="21"/>
        <v>511.06299999999999</v>
      </c>
      <c r="H34" s="93">
        <f>SUM(H24:H33)</f>
        <v>2634.2510000000002</v>
      </c>
      <c r="I34" s="90">
        <f t="shared" si="21"/>
        <v>1609747</v>
      </c>
      <c r="J34" s="90">
        <f t="shared" si="21"/>
        <v>1493193</v>
      </c>
      <c r="K34" s="90">
        <f t="shared" si="21"/>
        <v>-116554</v>
      </c>
      <c r="L34" s="90">
        <f t="shared" si="21"/>
        <v>7336</v>
      </c>
      <c r="M34" s="90">
        <f t="shared" si="21"/>
        <v>13</v>
      </c>
      <c r="N34" s="90">
        <f t="shared" si="21"/>
        <v>9244</v>
      </c>
      <c r="O34" s="90">
        <f t="shared" si="21"/>
        <v>5669</v>
      </c>
      <c r="P34" s="90">
        <f t="shared" si="21"/>
        <v>1038.5999999999999</v>
      </c>
      <c r="Q34" s="90">
        <f t="shared" si="21"/>
        <v>920</v>
      </c>
      <c r="R34" s="90">
        <f t="shared" si="21"/>
        <v>0</v>
      </c>
      <c r="S34" s="90">
        <f t="shared" si="21"/>
        <v>65.13</v>
      </c>
      <c r="T34" s="90">
        <f t="shared" si="21"/>
        <v>3010671.73</v>
      </c>
      <c r="U34" s="91"/>
      <c r="V34" s="117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6"/>
    </row>
    <row r="35" spans="1:42" s="77" customFormat="1">
      <c r="A35" s="81" t="s">
        <v>25</v>
      </c>
      <c r="B35" s="72"/>
      <c r="C35" s="92"/>
      <c r="D35" s="92"/>
      <c r="E35" s="92"/>
      <c r="F35" s="92"/>
      <c r="G35" s="92"/>
      <c r="H35" s="9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117"/>
      <c r="W35" s="74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6"/>
    </row>
    <row r="36" spans="1:42" s="77" customFormat="1">
      <c r="A36" s="79" t="s">
        <v>43</v>
      </c>
      <c r="B36" s="72">
        <v>967490</v>
      </c>
      <c r="C36" s="92">
        <v>936.31999999999994</v>
      </c>
      <c r="D36" s="92">
        <v>1.6</v>
      </c>
      <c r="E36" s="92">
        <v>0</v>
      </c>
      <c r="F36" s="92">
        <v>0</v>
      </c>
      <c r="G36" s="92">
        <v>0</v>
      </c>
      <c r="H36" s="92">
        <f>SUM(C36:G36)</f>
        <v>937.92</v>
      </c>
      <c r="I36" s="72">
        <v>634294</v>
      </c>
      <c r="J36" s="72">
        <v>603994</v>
      </c>
      <c r="K36" s="72">
        <f t="shared" si="4"/>
        <v>-30300</v>
      </c>
      <c r="L36" s="72">
        <v>3350</v>
      </c>
      <c r="M36" s="72">
        <v>0</v>
      </c>
      <c r="N36" s="72">
        <v>216223</v>
      </c>
      <c r="O36" s="72">
        <v>19784</v>
      </c>
      <c r="P36" s="72">
        <v>7961</v>
      </c>
      <c r="Q36" s="72">
        <v>0</v>
      </c>
      <c r="R36" s="72">
        <v>0</v>
      </c>
      <c r="S36" s="72">
        <v>15711</v>
      </c>
      <c r="T36" s="72">
        <f>SUM(I36:S36)</f>
        <v>1471017</v>
      </c>
      <c r="U36" s="73" t="s">
        <v>353</v>
      </c>
      <c r="V36" s="117"/>
      <c r="W36" s="74"/>
      <c r="X36" s="75">
        <f t="shared" ref="X36:AD42" si="22">+C36/$B36</f>
        <v>9.6778261274018328E-4</v>
      </c>
      <c r="Y36" s="75">
        <f t="shared" si="22"/>
        <v>1.6537638631923845E-6</v>
      </c>
      <c r="Z36" s="75">
        <f t="shared" si="22"/>
        <v>0</v>
      </c>
      <c r="AA36" s="75">
        <f t="shared" si="22"/>
        <v>0</v>
      </c>
      <c r="AB36" s="75">
        <f t="shared" si="22"/>
        <v>0</v>
      </c>
      <c r="AC36" s="75">
        <f t="shared" si="22"/>
        <v>9.6943637660337572E-4</v>
      </c>
      <c r="AD36" s="75">
        <f t="shared" si="22"/>
        <v>0.65560780989984391</v>
      </c>
      <c r="AE36" s="75">
        <f t="shared" ref="AE36:AM42" si="23">+L36/$B36</f>
        <v>3.4625680885590547E-3</v>
      </c>
      <c r="AF36" s="75">
        <f t="shared" si="23"/>
        <v>0</v>
      </c>
      <c r="AG36" s="75">
        <f t="shared" si="23"/>
        <v>0.22348861486940433</v>
      </c>
      <c r="AH36" s="75">
        <f t="shared" si="23"/>
        <v>2.0448790168373834E-2</v>
      </c>
      <c r="AI36" s="75">
        <f t="shared" si="23"/>
        <v>8.2285088217966072E-3</v>
      </c>
      <c r="AJ36" s="75">
        <f t="shared" si="23"/>
        <v>0</v>
      </c>
      <c r="AK36" s="75">
        <f t="shared" si="23"/>
        <v>0</v>
      </c>
      <c r="AL36" s="75">
        <f t="shared" si="23"/>
        <v>1.6238927534134719E-2</v>
      </c>
      <c r="AM36" s="75">
        <f t="shared" si="23"/>
        <v>1.5204467229635448</v>
      </c>
      <c r="AN36" s="75"/>
      <c r="AO36" s="75"/>
      <c r="AP36" s="76" t="e">
        <f>+VLOOKUP($A36,#REF!,2,FALSE)</f>
        <v>#REF!</v>
      </c>
    </row>
    <row r="37" spans="1:42" s="77" customFormat="1">
      <c r="A37" s="78" t="s">
        <v>204</v>
      </c>
      <c r="B37" s="72">
        <v>347669</v>
      </c>
      <c r="C37" s="92">
        <v>379.54999999999995</v>
      </c>
      <c r="D37" s="92">
        <v>10.180000000000001</v>
      </c>
      <c r="E37" s="92">
        <v>0</v>
      </c>
      <c r="F37" s="92">
        <v>0</v>
      </c>
      <c r="G37" s="92">
        <v>0</v>
      </c>
      <c r="H37" s="92">
        <f t="shared" ref="H37:H42" si="24">SUM(C37:G37)</f>
        <v>389.72999999999996</v>
      </c>
      <c r="I37" s="72">
        <v>216500</v>
      </c>
      <c r="J37" s="72">
        <v>216500</v>
      </c>
      <c r="K37" s="72">
        <f t="shared" si="4"/>
        <v>0</v>
      </c>
      <c r="L37" s="72">
        <v>0</v>
      </c>
      <c r="M37" s="72">
        <v>0</v>
      </c>
      <c r="N37" s="72">
        <v>22604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f t="shared" ref="T37:T42" si="25">SUM(I37:S37)</f>
        <v>455604</v>
      </c>
      <c r="U37" s="73" t="s">
        <v>353</v>
      </c>
      <c r="V37" s="117"/>
      <c r="W37" s="74"/>
      <c r="X37" s="75">
        <f t="shared" si="22"/>
        <v>1.0916992886912552E-3</v>
      </c>
      <c r="Y37" s="75">
        <f t="shared" si="22"/>
        <v>2.9280723906934472E-5</v>
      </c>
      <c r="Z37" s="75">
        <f t="shared" si="22"/>
        <v>0</v>
      </c>
      <c r="AA37" s="75">
        <f t="shared" si="22"/>
        <v>0</v>
      </c>
      <c r="AB37" s="75">
        <f t="shared" si="22"/>
        <v>0</v>
      </c>
      <c r="AC37" s="75">
        <f t="shared" si="22"/>
        <v>1.1209800125981896E-3</v>
      </c>
      <c r="AD37" s="75">
        <f t="shared" si="22"/>
        <v>0.62271873534885192</v>
      </c>
      <c r="AE37" s="75">
        <f t="shared" si="23"/>
        <v>0</v>
      </c>
      <c r="AF37" s="75">
        <f t="shared" si="23"/>
        <v>0</v>
      </c>
      <c r="AG37" s="75">
        <f t="shared" si="23"/>
        <v>6.5015862789032097E-2</v>
      </c>
      <c r="AH37" s="75">
        <f t="shared" si="23"/>
        <v>0</v>
      </c>
      <c r="AI37" s="75">
        <f t="shared" si="23"/>
        <v>0</v>
      </c>
      <c r="AJ37" s="75">
        <f t="shared" si="23"/>
        <v>0</v>
      </c>
      <c r="AK37" s="75">
        <f t="shared" si="23"/>
        <v>0</v>
      </c>
      <c r="AL37" s="75">
        <f t="shared" si="23"/>
        <v>0</v>
      </c>
      <c r="AM37" s="75">
        <f t="shared" si="23"/>
        <v>1.3104533334867359</v>
      </c>
      <c r="AN37" s="75"/>
      <c r="AO37" s="75"/>
      <c r="AP37" s="76" t="e">
        <f>+VLOOKUP($A37,#REF!,2,FALSE)</f>
        <v>#REF!</v>
      </c>
    </row>
    <row r="38" spans="1:42" s="77" customFormat="1">
      <c r="A38" s="78" t="s">
        <v>84</v>
      </c>
      <c r="B38" s="72">
        <v>61040</v>
      </c>
      <c r="C38" s="92">
        <v>107.095</v>
      </c>
      <c r="D38" s="92">
        <v>0</v>
      </c>
      <c r="E38" s="92">
        <v>0</v>
      </c>
      <c r="F38" s="92">
        <v>0</v>
      </c>
      <c r="G38" s="92">
        <v>0</v>
      </c>
      <c r="H38" s="92">
        <f t="shared" si="24"/>
        <v>107.095</v>
      </c>
      <c r="I38" s="72">
        <v>50000</v>
      </c>
      <c r="J38" s="72">
        <v>50000</v>
      </c>
      <c r="K38" s="72">
        <f t="shared" si="4"/>
        <v>0</v>
      </c>
      <c r="L38" s="72">
        <v>1500</v>
      </c>
      <c r="M38" s="72">
        <v>500</v>
      </c>
      <c r="N38" s="72">
        <v>0</v>
      </c>
      <c r="O38" s="72">
        <v>0</v>
      </c>
      <c r="P38" s="72">
        <v>8200</v>
      </c>
      <c r="Q38" s="72">
        <v>0</v>
      </c>
      <c r="R38" s="72">
        <v>0</v>
      </c>
      <c r="S38" s="72">
        <v>0</v>
      </c>
      <c r="T38" s="72">
        <f t="shared" si="25"/>
        <v>110200</v>
      </c>
      <c r="U38" s="73" t="s">
        <v>353</v>
      </c>
      <c r="V38" s="117"/>
      <c r="W38" s="74"/>
      <c r="X38" s="75">
        <f t="shared" si="22"/>
        <v>1.7545052424639579E-3</v>
      </c>
      <c r="Y38" s="75">
        <f t="shared" si="22"/>
        <v>0</v>
      </c>
      <c r="Z38" s="75">
        <f t="shared" si="22"/>
        <v>0</v>
      </c>
      <c r="AA38" s="75">
        <f t="shared" si="22"/>
        <v>0</v>
      </c>
      <c r="AB38" s="75">
        <f t="shared" si="22"/>
        <v>0</v>
      </c>
      <c r="AC38" s="75">
        <f t="shared" si="22"/>
        <v>1.7545052424639579E-3</v>
      </c>
      <c r="AD38" s="75">
        <f t="shared" si="22"/>
        <v>0.81913499344692009</v>
      </c>
      <c r="AE38" s="75">
        <f t="shared" si="23"/>
        <v>2.4574049803407601E-2</v>
      </c>
      <c r="AF38" s="75">
        <f t="shared" si="23"/>
        <v>8.1913499344692005E-3</v>
      </c>
      <c r="AG38" s="75">
        <f t="shared" si="23"/>
        <v>0</v>
      </c>
      <c r="AH38" s="75">
        <f t="shared" si="23"/>
        <v>0</v>
      </c>
      <c r="AI38" s="75">
        <f t="shared" si="23"/>
        <v>0.13433813892529489</v>
      </c>
      <c r="AJ38" s="75">
        <f t="shared" si="23"/>
        <v>0</v>
      </c>
      <c r="AK38" s="75">
        <f t="shared" si="23"/>
        <v>0</v>
      </c>
      <c r="AL38" s="75">
        <f t="shared" si="23"/>
        <v>0</v>
      </c>
      <c r="AM38" s="75">
        <f t="shared" si="23"/>
        <v>1.8053735255570118</v>
      </c>
      <c r="AN38" s="75"/>
      <c r="AO38" s="75"/>
      <c r="AP38" s="76" t="e">
        <f>+VLOOKUP($A38,#REF!,2,FALSE)</f>
        <v>#REF!</v>
      </c>
    </row>
    <row r="39" spans="1:42" s="77" customFormat="1">
      <c r="A39" s="78" t="s">
        <v>168</v>
      </c>
      <c r="B39" s="72">
        <v>74538</v>
      </c>
      <c r="C39" s="92">
        <v>117.36</v>
      </c>
      <c r="D39" s="92">
        <v>0.52</v>
      </c>
      <c r="E39" s="92">
        <v>0</v>
      </c>
      <c r="F39" s="92">
        <v>0</v>
      </c>
      <c r="G39" s="92">
        <v>0</v>
      </c>
      <c r="H39" s="92">
        <f t="shared" si="24"/>
        <v>117.88</v>
      </c>
      <c r="I39" s="72">
        <v>61700</v>
      </c>
      <c r="J39" s="72">
        <v>61700</v>
      </c>
      <c r="K39" s="72">
        <f t="shared" si="4"/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f t="shared" si="25"/>
        <v>123400</v>
      </c>
      <c r="U39" s="73" t="s">
        <v>353</v>
      </c>
      <c r="V39" s="117"/>
      <c r="W39" s="74"/>
      <c r="X39" s="75">
        <f t="shared" si="22"/>
        <v>1.5744989133059648E-3</v>
      </c>
      <c r="Y39" s="75">
        <f t="shared" si="22"/>
        <v>6.9763073868362451E-6</v>
      </c>
      <c r="Z39" s="75">
        <f t="shared" si="22"/>
        <v>0</v>
      </c>
      <c r="AA39" s="75">
        <f t="shared" si="22"/>
        <v>0</v>
      </c>
      <c r="AB39" s="75">
        <f t="shared" si="22"/>
        <v>0</v>
      </c>
      <c r="AC39" s="75">
        <f t="shared" si="22"/>
        <v>1.581475220692801E-3</v>
      </c>
      <c r="AD39" s="75">
        <f t="shared" si="22"/>
        <v>0.8277657033996082</v>
      </c>
      <c r="AE39" s="75">
        <f t="shared" si="23"/>
        <v>0</v>
      </c>
      <c r="AF39" s="75">
        <f t="shared" si="23"/>
        <v>0</v>
      </c>
      <c r="AG39" s="75">
        <f t="shared" si="23"/>
        <v>0</v>
      </c>
      <c r="AH39" s="75">
        <f t="shared" si="23"/>
        <v>0</v>
      </c>
      <c r="AI39" s="75">
        <f t="shared" si="23"/>
        <v>0</v>
      </c>
      <c r="AJ39" s="75">
        <f t="shared" si="23"/>
        <v>0</v>
      </c>
      <c r="AK39" s="75">
        <f t="shared" si="23"/>
        <v>0</v>
      </c>
      <c r="AL39" s="75">
        <f t="shared" si="23"/>
        <v>0</v>
      </c>
      <c r="AM39" s="75">
        <f t="shared" si="23"/>
        <v>1.6555314067992164</v>
      </c>
      <c r="AN39" s="75"/>
      <c r="AO39" s="75"/>
      <c r="AP39" s="76" t="e">
        <f>+VLOOKUP($A39,#REF!,2,FALSE)</f>
        <v>#REF!</v>
      </c>
    </row>
    <row r="40" spans="1:42" s="77" customFormat="1">
      <c r="A40" s="79" t="s">
        <v>169</v>
      </c>
      <c r="B40" s="72">
        <v>196000</v>
      </c>
      <c r="C40" s="92">
        <v>323.2</v>
      </c>
      <c r="D40" s="92">
        <v>0</v>
      </c>
      <c r="E40" s="92">
        <v>0</v>
      </c>
      <c r="F40" s="92">
        <v>0</v>
      </c>
      <c r="G40" s="92">
        <v>0</v>
      </c>
      <c r="H40" s="92">
        <f t="shared" si="24"/>
        <v>323.2</v>
      </c>
      <c r="I40" s="72">
        <v>179345</v>
      </c>
      <c r="J40" s="72">
        <v>179345</v>
      </c>
      <c r="K40" s="72">
        <f t="shared" si="4"/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f t="shared" si="25"/>
        <v>358690</v>
      </c>
      <c r="U40" s="73" t="s">
        <v>353</v>
      </c>
      <c r="V40" s="117"/>
      <c r="W40" s="74"/>
      <c r="X40" s="75">
        <f t="shared" si="22"/>
        <v>1.6489795918367346E-3</v>
      </c>
      <c r="Y40" s="75">
        <f t="shared" si="22"/>
        <v>0</v>
      </c>
      <c r="Z40" s="75">
        <f t="shared" si="22"/>
        <v>0</v>
      </c>
      <c r="AA40" s="75">
        <f t="shared" si="22"/>
        <v>0</v>
      </c>
      <c r="AB40" s="75">
        <f t="shared" si="22"/>
        <v>0</v>
      </c>
      <c r="AC40" s="75">
        <f t="shared" si="22"/>
        <v>1.6489795918367346E-3</v>
      </c>
      <c r="AD40" s="75">
        <f t="shared" si="22"/>
        <v>0.91502551020408163</v>
      </c>
      <c r="AE40" s="75">
        <f t="shared" si="23"/>
        <v>0</v>
      </c>
      <c r="AF40" s="75">
        <f t="shared" si="23"/>
        <v>0</v>
      </c>
      <c r="AG40" s="75">
        <f t="shared" si="23"/>
        <v>0</v>
      </c>
      <c r="AH40" s="75">
        <f t="shared" si="23"/>
        <v>0</v>
      </c>
      <c r="AI40" s="75">
        <f t="shared" si="23"/>
        <v>0</v>
      </c>
      <c r="AJ40" s="75">
        <f t="shared" si="23"/>
        <v>0</v>
      </c>
      <c r="AK40" s="75">
        <f t="shared" si="23"/>
        <v>0</v>
      </c>
      <c r="AL40" s="75">
        <f t="shared" si="23"/>
        <v>0</v>
      </c>
      <c r="AM40" s="75">
        <f t="shared" si="23"/>
        <v>1.8300510204081633</v>
      </c>
      <c r="AN40" s="75"/>
      <c r="AO40" s="75"/>
      <c r="AP40" s="76" t="e">
        <f>+VLOOKUP($A40,#REF!,2,FALSE)</f>
        <v>#REF!</v>
      </c>
    </row>
    <row r="41" spans="1:42" s="77" customFormat="1" ht="43.5">
      <c r="A41" s="79" t="s">
        <v>240</v>
      </c>
      <c r="B41" s="72">
        <v>68625</v>
      </c>
      <c r="C41" s="92">
        <v>35.049999999999997</v>
      </c>
      <c r="D41" s="92">
        <v>0</v>
      </c>
      <c r="E41" s="92">
        <v>0</v>
      </c>
      <c r="F41" s="92">
        <v>0</v>
      </c>
      <c r="G41" s="92">
        <v>0</v>
      </c>
      <c r="H41" s="92">
        <f t="shared" si="24"/>
        <v>35.049999999999997</v>
      </c>
      <c r="I41" s="72">
        <v>13594</v>
      </c>
      <c r="J41" s="72">
        <v>17960</v>
      </c>
      <c r="K41" s="72">
        <f t="shared" si="4"/>
        <v>4366</v>
      </c>
      <c r="L41" s="72">
        <v>24612</v>
      </c>
      <c r="M41" s="72">
        <v>5888</v>
      </c>
      <c r="N41" s="72">
        <v>142</v>
      </c>
      <c r="O41" s="72">
        <v>3594</v>
      </c>
      <c r="P41" s="72">
        <v>2778</v>
      </c>
      <c r="Q41" s="72">
        <v>0</v>
      </c>
      <c r="R41" s="72">
        <v>0</v>
      </c>
      <c r="S41" s="72">
        <v>531</v>
      </c>
      <c r="T41" s="72">
        <f t="shared" si="25"/>
        <v>73465</v>
      </c>
      <c r="U41" s="73" t="s">
        <v>352</v>
      </c>
      <c r="V41" s="117"/>
      <c r="W41" s="74"/>
      <c r="X41" s="75">
        <f t="shared" si="22"/>
        <v>5.1074681238615657E-4</v>
      </c>
      <c r="Y41" s="75">
        <f t="shared" si="22"/>
        <v>0</v>
      </c>
      <c r="Z41" s="75">
        <f t="shared" si="22"/>
        <v>0</v>
      </c>
      <c r="AA41" s="75">
        <f t="shared" si="22"/>
        <v>0</v>
      </c>
      <c r="AB41" s="75">
        <f t="shared" si="22"/>
        <v>0</v>
      </c>
      <c r="AC41" s="75">
        <f t="shared" si="22"/>
        <v>5.1074681238615657E-4</v>
      </c>
      <c r="AD41" s="75">
        <f t="shared" si="22"/>
        <v>0.19809107468123863</v>
      </c>
      <c r="AE41" s="75">
        <f t="shared" si="23"/>
        <v>0.3586448087431694</v>
      </c>
      <c r="AF41" s="75">
        <f t="shared" si="23"/>
        <v>8.5799635701275051E-2</v>
      </c>
      <c r="AG41" s="75">
        <f t="shared" si="23"/>
        <v>2.069216757741348E-3</v>
      </c>
      <c r="AH41" s="75">
        <f t="shared" si="23"/>
        <v>5.2371584699453549E-2</v>
      </c>
      <c r="AI41" s="75">
        <f t="shared" si="23"/>
        <v>4.0480874316939891E-2</v>
      </c>
      <c r="AJ41" s="75">
        <f t="shared" si="23"/>
        <v>0</v>
      </c>
      <c r="AK41" s="75">
        <f t="shared" si="23"/>
        <v>0</v>
      </c>
      <c r="AL41" s="75">
        <f t="shared" si="23"/>
        <v>7.7377049180327867E-3</v>
      </c>
      <c r="AM41" s="75">
        <f t="shared" si="23"/>
        <v>1.0705282331511841</v>
      </c>
      <c r="AN41" s="75"/>
      <c r="AO41" s="75"/>
      <c r="AP41" s="76" t="e">
        <f>+VLOOKUP($A41,#REF!,2,FALSE)</f>
        <v>#REF!</v>
      </c>
    </row>
    <row r="42" spans="1:42" s="77" customFormat="1">
      <c r="A42" s="79" t="s">
        <v>44</v>
      </c>
      <c r="B42" s="72">
        <v>550688</v>
      </c>
      <c r="C42" s="92">
        <v>404.71199999999999</v>
      </c>
      <c r="D42" s="92">
        <v>0</v>
      </c>
      <c r="E42" s="92">
        <v>0</v>
      </c>
      <c r="F42" s="92">
        <v>0</v>
      </c>
      <c r="G42" s="92">
        <v>0</v>
      </c>
      <c r="H42" s="92">
        <f t="shared" si="24"/>
        <v>404.71199999999999</v>
      </c>
      <c r="I42" s="72">
        <v>345719</v>
      </c>
      <c r="J42" s="72">
        <v>345719</v>
      </c>
      <c r="K42" s="72">
        <f t="shared" si="4"/>
        <v>0</v>
      </c>
      <c r="L42" s="72">
        <v>2460</v>
      </c>
      <c r="M42" s="72">
        <v>0</v>
      </c>
      <c r="N42" s="72">
        <v>86421</v>
      </c>
      <c r="O42" s="72">
        <v>4359</v>
      </c>
      <c r="P42" s="72">
        <v>0</v>
      </c>
      <c r="Q42" s="72">
        <v>0</v>
      </c>
      <c r="R42" s="72">
        <v>0</v>
      </c>
      <c r="S42" s="72">
        <v>0</v>
      </c>
      <c r="T42" s="72">
        <f t="shared" si="25"/>
        <v>784678</v>
      </c>
      <c r="U42" s="73" t="s">
        <v>353</v>
      </c>
      <c r="V42" s="117"/>
      <c r="W42" s="74"/>
      <c r="X42" s="75">
        <f t="shared" si="22"/>
        <v>7.3492068103899117E-4</v>
      </c>
      <c r="Y42" s="75">
        <f t="shared" si="22"/>
        <v>0</v>
      </c>
      <c r="Z42" s="75">
        <f t="shared" si="22"/>
        <v>0</v>
      </c>
      <c r="AA42" s="75">
        <f t="shared" si="22"/>
        <v>0</v>
      </c>
      <c r="AB42" s="75">
        <f t="shared" si="22"/>
        <v>0</v>
      </c>
      <c r="AC42" s="75">
        <f t="shared" si="22"/>
        <v>7.3492068103899117E-4</v>
      </c>
      <c r="AD42" s="75">
        <f t="shared" si="22"/>
        <v>0.62779468592015808</v>
      </c>
      <c r="AE42" s="75">
        <f t="shared" si="23"/>
        <v>4.467139287582079E-3</v>
      </c>
      <c r="AF42" s="75">
        <f t="shared" si="23"/>
        <v>0</v>
      </c>
      <c r="AG42" s="75">
        <f t="shared" si="23"/>
        <v>0.15693278226509386</v>
      </c>
      <c r="AH42" s="75">
        <f t="shared" si="23"/>
        <v>7.9155529083619041E-3</v>
      </c>
      <c r="AI42" s="75">
        <f t="shared" si="23"/>
        <v>0</v>
      </c>
      <c r="AJ42" s="75">
        <f t="shared" si="23"/>
        <v>0</v>
      </c>
      <c r="AK42" s="75">
        <f t="shared" si="23"/>
        <v>0</v>
      </c>
      <c r="AL42" s="75">
        <f t="shared" si="23"/>
        <v>0</v>
      </c>
      <c r="AM42" s="75">
        <f t="shared" si="23"/>
        <v>1.4249048463013538</v>
      </c>
      <c r="AN42" s="75"/>
      <c r="AO42" s="75"/>
      <c r="AP42" s="76" t="e">
        <f>+VLOOKUP($A42,#REF!,2,FALSE)</f>
        <v>#REF!</v>
      </c>
    </row>
    <row r="43" spans="1:42" s="77" customFormat="1">
      <c r="A43" s="80" t="s">
        <v>9</v>
      </c>
      <c r="B43" s="90">
        <f>SUM(B36:B42)</f>
        <v>2266050</v>
      </c>
      <c r="C43" s="93">
        <f t="shared" ref="C43:T43" si="26">SUM(C36:C42)</f>
        <v>2303.2869999999998</v>
      </c>
      <c r="D43" s="93">
        <f t="shared" si="26"/>
        <v>12.3</v>
      </c>
      <c r="E43" s="93">
        <f t="shared" si="26"/>
        <v>0</v>
      </c>
      <c r="F43" s="93">
        <f t="shared" si="26"/>
        <v>0</v>
      </c>
      <c r="G43" s="93">
        <f t="shared" si="26"/>
        <v>0</v>
      </c>
      <c r="H43" s="93">
        <f t="shared" si="26"/>
        <v>2315.587</v>
      </c>
      <c r="I43" s="90">
        <f t="shared" si="26"/>
        <v>1501152</v>
      </c>
      <c r="J43" s="90">
        <f t="shared" si="26"/>
        <v>1475218</v>
      </c>
      <c r="K43" s="90">
        <f t="shared" si="26"/>
        <v>-25934</v>
      </c>
      <c r="L43" s="90">
        <f t="shared" si="26"/>
        <v>31922</v>
      </c>
      <c r="M43" s="90">
        <f t="shared" si="26"/>
        <v>6388</v>
      </c>
      <c r="N43" s="90">
        <f t="shared" si="26"/>
        <v>325390</v>
      </c>
      <c r="O43" s="90">
        <f t="shared" si="26"/>
        <v>27737</v>
      </c>
      <c r="P43" s="90">
        <f t="shared" si="26"/>
        <v>18939</v>
      </c>
      <c r="Q43" s="90">
        <f t="shared" si="26"/>
        <v>0</v>
      </c>
      <c r="R43" s="90">
        <f t="shared" si="26"/>
        <v>0</v>
      </c>
      <c r="S43" s="90">
        <f t="shared" si="26"/>
        <v>16242</v>
      </c>
      <c r="T43" s="90">
        <f t="shared" si="26"/>
        <v>3377054</v>
      </c>
      <c r="U43" s="91"/>
      <c r="V43" s="117"/>
      <c r="W43" s="74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s="77" customFormat="1">
      <c r="A44" s="81" t="s">
        <v>338</v>
      </c>
      <c r="B44" s="72"/>
      <c r="C44" s="92"/>
      <c r="D44" s="92"/>
      <c r="E44" s="92"/>
      <c r="F44" s="92"/>
      <c r="G44" s="92"/>
      <c r="H44" s="9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3"/>
      <c r="V44" s="117"/>
      <c r="W44" s="74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6"/>
    </row>
    <row r="45" spans="1:42" s="77" customFormat="1">
      <c r="A45" s="78" t="s">
        <v>263</v>
      </c>
      <c r="B45" s="72">
        <v>26937</v>
      </c>
      <c r="C45" s="92">
        <v>17.384</v>
      </c>
      <c r="D45" s="92">
        <v>1.8080000000000001</v>
      </c>
      <c r="E45" s="92">
        <v>0</v>
      </c>
      <c r="F45" s="92">
        <v>0</v>
      </c>
      <c r="G45" s="92">
        <v>0</v>
      </c>
      <c r="H45" s="92">
        <f>SUM(C45:G45)</f>
        <v>19.192</v>
      </c>
      <c r="I45" s="72">
        <f>24984-82</f>
        <v>24902</v>
      </c>
      <c r="J45" s="72">
        <v>25683</v>
      </c>
      <c r="K45" s="72">
        <f t="shared" si="4"/>
        <v>781</v>
      </c>
      <c r="L45" s="72">
        <v>389</v>
      </c>
      <c r="M45" s="72">
        <v>163</v>
      </c>
      <c r="N45" s="72">
        <v>0</v>
      </c>
      <c r="O45" s="72">
        <v>19</v>
      </c>
      <c r="P45" s="72">
        <v>1105</v>
      </c>
      <c r="Q45" s="72">
        <v>359</v>
      </c>
      <c r="R45" s="72">
        <v>0</v>
      </c>
      <c r="S45" s="72">
        <v>0</v>
      </c>
      <c r="T45" s="72">
        <f>SUM(I45:S45)</f>
        <v>53401</v>
      </c>
      <c r="U45" s="73" t="s">
        <v>328</v>
      </c>
      <c r="V45" s="117"/>
      <c r="W45" s="74"/>
      <c r="X45" s="75">
        <f t="shared" ref="X45:X54" si="27">+C45/$B45</f>
        <v>6.4535768645357686E-4</v>
      </c>
      <c r="Y45" s="75">
        <f t="shared" ref="Y45:Y54" si="28">+D45/$B45</f>
        <v>6.7119575305342094E-5</v>
      </c>
      <c r="Z45" s="75">
        <f t="shared" ref="Z45:Z54" si="29">+E45/$B45</f>
        <v>0</v>
      </c>
      <c r="AA45" s="75">
        <f t="shared" ref="AA45:AA54" si="30">+F45/$B45</f>
        <v>0</v>
      </c>
      <c r="AB45" s="75">
        <f t="shared" ref="AB45:AB54" si="31">+G45/$B45</f>
        <v>0</v>
      </c>
      <c r="AC45" s="75">
        <f t="shared" ref="AC45:AC54" si="32">+H45/$B45</f>
        <v>7.12477261758919E-4</v>
      </c>
      <c r="AD45" s="75">
        <f t="shared" ref="AD45:AD54" si="33">+I45/$B45</f>
        <v>0.92445335412258234</v>
      </c>
      <c r="AE45" s="75">
        <f t="shared" ref="AE45:AM54" si="34">+L45/$B45</f>
        <v>1.444110331514274E-2</v>
      </c>
      <c r="AF45" s="75">
        <f t="shared" si="34"/>
        <v>6.0511564019749787E-3</v>
      </c>
      <c r="AG45" s="75">
        <f t="shared" si="34"/>
        <v>0</v>
      </c>
      <c r="AH45" s="75">
        <f t="shared" si="34"/>
        <v>7.0534951924861717E-4</v>
      </c>
      <c r="AI45" s="75">
        <f t="shared" si="34"/>
        <v>4.102164309314326E-2</v>
      </c>
      <c r="AJ45" s="75">
        <f t="shared" si="34"/>
        <v>1.3327393547908082E-2</v>
      </c>
      <c r="AK45" s="75">
        <f t="shared" si="34"/>
        <v>0</v>
      </c>
      <c r="AL45" s="75">
        <f t="shared" si="34"/>
        <v>0</v>
      </c>
      <c r="AM45" s="75">
        <f t="shared" si="34"/>
        <v>1.9824405093366002</v>
      </c>
      <c r="AN45" s="75"/>
      <c r="AO45" s="75"/>
      <c r="AP45" s="76" t="e">
        <f>+VLOOKUP($A45,#REF!,2,FALSE)</f>
        <v>#REF!</v>
      </c>
    </row>
    <row r="46" spans="1:42" s="77" customFormat="1">
      <c r="A46" s="78" t="s">
        <v>253</v>
      </c>
      <c r="B46" s="72">
        <v>17013</v>
      </c>
      <c r="C46" s="92">
        <v>10.189</v>
      </c>
      <c r="D46" s="92">
        <v>1.1000000000000001</v>
      </c>
      <c r="E46" s="92">
        <v>0</v>
      </c>
      <c r="F46" s="92">
        <v>0</v>
      </c>
      <c r="G46" s="92">
        <v>18.32</v>
      </c>
      <c r="H46" s="92">
        <f t="shared" ref="H46:H54" si="35">SUM(C46:G46)</f>
        <v>29.609000000000002</v>
      </c>
      <c r="I46" s="72">
        <f>13177-2164</f>
        <v>11013</v>
      </c>
      <c r="J46" s="72">
        <v>12884</v>
      </c>
      <c r="K46" s="72">
        <f t="shared" si="4"/>
        <v>1871</v>
      </c>
      <c r="L46" s="72">
        <v>40</v>
      </c>
      <c r="M46" s="72">
        <v>0</v>
      </c>
      <c r="N46" s="72">
        <v>1007</v>
      </c>
      <c r="O46" s="72">
        <v>103</v>
      </c>
      <c r="P46" s="72">
        <v>3116</v>
      </c>
      <c r="Q46" s="72">
        <v>618</v>
      </c>
      <c r="R46" s="72">
        <v>0</v>
      </c>
      <c r="S46" s="72">
        <v>1116</v>
      </c>
      <c r="T46" s="72">
        <f t="shared" ref="T46:T54" si="36">SUM(I46:S46)</f>
        <v>31768</v>
      </c>
      <c r="U46" s="73" t="s">
        <v>328</v>
      </c>
      <c r="V46" s="117"/>
      <c r="W46" s="74"/>
      <c r="X46" s="75">
        <f t="shared" si="27"/>
        <v>5.9889496267560101E-4</v>
      </c>
      <c r="Y46" s="75">
        <f t="shared" si="28"/>
        <v>6.4656439193557877E-5</v>
      </c>
      <c r="Z46" s="75">
        <f t="shared" si="29"/>
        <v>0</v>
      </c>
      <c r="AA46" s="75">
        <f t="shared" si="30"/>
        <v>0</v>
      </c>
      <c r="AB46" s="75">
        <f t="shared" si="31"/>
        <v>1.0768236054781637E-3</v>
      </c>
      <c r="AC46" s="75">
        <f t="shared" si="32"/>
        <v>1.7403750073473228E-3</v>
      </c>
      <c r="AD46" s="75">
        <f t="shared" si="33"/>
        <v>0.64732851348968434</v>
      </c>
      <c r="AE46" s="75">
        <f t="shared" si="34"/>
        <v>2.3511432434021044E-3</v>
      </c>
      <c r="AF46" s="75">
        <f t="shared" si="34"/>
        <v>0</v>
      </c>
      <c r="AG46" s="75">
        <f t="shared" si="34"/>
        <v>5.9190031152647975E-2</v>
      </c>
      <c r="AH46" s="75">
        <f t="shared" si="34"/>
        <v>6.0541938517604185E-3</v>
      </c>
      <c r="AI46" s="75">
        <f t="shared" si="34"/>
        <v>0.18315405866102391</v>
      </c>
      <c r="AJ46" s="75">
        <f t="shared" si="34"/>
        <v>3.6325163110562511E-2</v>
      </c>
      <c r="AK46" s="75">
        <f t="shared" si="34"/>
        <v>0</v>
      </c>
      <c r="AL46" s="75">
        <f t="shared" si="34"/>
        <v>6.559689649091871E-2</v>
      </c>
      <c r="AM46" s="75">
        <f t="shared" si="34"/>
        <v>1.8672779639099513</v>
      </c>
      <c r="AN46" s="75"/>
      <c r="AO46" s="75"/>
      <c r="AP46" s="76" t="e">
        <f>+VLOOKUP($A46,#REF!,2,FALSE)</f>
        <v>#REF!</v>
      </c>
    </row>
    <row r="47" spans="1:42" s="77" customFormat="1">
      <c r="A47" s="79" t="s">
        <v>256</v>
      </c>
      <c r="B47" s="72">
        <v>0</v>
      </c>
      <c r="C47" s="92">
        <v>0</v>
      </c>
      <c r="D47" s="92">
        <v>1.17</v>
      </c>
      <c r="E47" s="92">
        <v>0</v>
      </c>
      <c r="F47" s="92">
        <v>0</v>
      </c>
      <c r="G47" s="92">
        <v>0</v>
      </c>
      <c r="H47" s="92">
        <f t="shared" si="35"/>
        <v>1.17</v>
      </c>
      <c r="I47" s="72">
        <v>0</v>
      </c>
      <c r="J47" s="72">
        <v>0</v>
      </c>
      <c r="K47" s="72">
        <f t="shared" si="4"/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f t="shared" si="36"/>
        <v>0</v>
      </c>
      <c r="U47" s="73" t="s">
        <v>328</v>
      </c>
      <c r="V47" s="117"/>
      <c r="W47" s="74"/>
      <c r="X47" s="75" t="e">
        <f t="shared" si="27"/>
        <v>#DIV/0!</v>
      </c>
      <c r="Y47" s="75" t="e">
        <f t="shared" si="28"/>
        <v>#DIV/0!</v>
      </c>
      <c r="Z47" s="75" t="e">
        <f t="shared" si="29"/>
        <v>#DIV/0!</v>
      </c>
      <c r="AA47" s="75" t="e">
        <f t="shared" si="30"/>
        <v>#DIV/0!</v>
      </c>
      <c r="AB47" s="75" t="e">
        <f t="shared" si="31"/>
        <v>#DIV/0!</v>
      </c>
      <c r="AC47" s="75" t="e">
        <f t="shared" si="32"/>
        <v>#DIV/0!</v>
      </c>
      <c r="AD47" s="75" t="e">
        <f t="shared" si="33"/>
        <v>#DIV/0!</v>
      </c>
      <c r="AE47" s="75" t="e">
        <f t="shared" si="34"/>
        <v>#DIV/0!</v>
      </c>
      <c r="AF47" s="75" t="e">
        <f t="shared" si="34"/>
        <v>#DIV/0!</v>
      </c>
      <c r="AG47" s="75" t="e">
        <f t="shared" si="34"/>
        <v>#DIV/0!</v>
      </c>
      <c r="AH47" s="75" t="e">
        <f t="shared" si="34"/>
        <v>#DIV/0!</v>
      </c>
      <c r="AI47" s="75" t="e">
        <f t="shared" si="34"/>
        <v>#DIV/0!</v>
      </c>
      <c r="AJ47" s="75" t="e">
        <f t="shared" si="34"/>
        <v>#DIV/0!</v>
      </c>
      <c r="AK47" s="75" t="e">
        <f t="shared" si="34"/>
        <v>#DIV/0!</v>
      </c>
      <c r="AL47" s="75" t="e">
        <f t="shared" si="34"/>
        <v>#DIV/0!</v>
      </c>
      <c r="AM47" s="75" t="e">
        <f t="shared" si="34"/>
        <v>#DIV/0!</v>
      </c>
      <c r="AN47" s="75"/>
      <c r="AO47" s="75"/>
      <c r="AP47" s="76" t="e">
        <f>+VLOOKUP($A47,#REF!,2,FALSE)</f>
        <v>#REF!</v>
      </c>
    </row>
    <row r="48" spans="1:42" s="77" customFormat="1">
      <c r="A48" s="78" t="s">
        <v>214</v>
      </c>
      <c r="B48" s="72">
        <v>106613</v>
      </c>
      <c r="C48" s="92">
        <v>97.389930297222392</v>
      </c>
      <c r="D48" s="92">
        <v>2.0992169368000004</v>
      </c>
      <c r="E48" s="92">
        <v>0</v>
      </c>
      <c r="F48" s="92">
        <v>0</v>
      </c>
      <c r="G48" s="92">
        <v>0</v>
      </c>
      <c r="H48" s="92">
        <f t="shared" si="35"/>
        <v>99.489147234022397</v>
      </c>
      <c r="I48" s="72">
        <f>136133-29947</f>
        <v>106186</v>
      </c>
      <c r="J48" s="72">
        <v>105893</v>
      </c>
      <c r="K48" s="72">
        <f t="shared" si="4"/>
        <v>-293</v>
      </c>
      <c r="L48" s="72">
        <v>150</v>
      </c>
      <c r="M48" s="72">
        <v>0</v>
      </c>
      <c r="N48" s="72">
        <v>0</v>
      </c>
      <c r="O48" s="72">
        <v>0</v>
      </c>
      <c r="P48" s="72">
        <v>0</v>
      </c>
      <c r="Q48" s="72">
        <v>277</v>
      </c>
      <c r="R48" s="72">
        <v>0</v>
      </c>
      <c r="S48" s="72">
        <v>0</v>
      </c>
      <c r="T48" s="72">
        <f t="shared" si="36"/>
        <v>212213</v>
      </c>
      <c r="U48" s="73" t="s">
        <v>328</v>
      </c>
      <c r="V48" s="117"/>
      <c r="W48" s="74"/>
      <c r="X48" s="75">
        <f t="shared" si="27"/>
        <v>9.1349019629146906E-4</v>
      </c>
      <c r="Y48" s="75">
        <f t="shared" si="28"/>
        <v>1.9690065346627526E-5</v>
      </c>
      <c r="Z48" s="75">
        <f t="shared" si="29"/>
        <v>0</v>
      </c>
      <c r="AA48" s="75">
        <f t="shared" si="30"/>
        <v>0</v>
      </c>
      <c r="AB48" s="75">
        <f t="shared" si="31"/>
        <v>0</v>
      </c>
      <c r="AC48" s="75">
        <f t="shared" si="32"/>
        <v>9.3318026163809664E-4</v>
      </c>
      <c r="AD48" s="75">
        <f t="shared" si="33"/>
        <v>0.99599485991389414</v>
      </c>
      <c r="AE48" s="75">
        <f t="shared" si="34"/>
        <v>1.4069578756812022E-3</v>
      </c>
      <c r="AF48" s="75">
        <f t="shared" si="34"/>
        <v>0</v>
      </c>
      <c r="AG48" s="75">
        <f t="shared" si="34"/>
        <v>0</v>
      </c>
      <c r="AH48" s="75">
        <f t="shared" si="34"/>
        <v>0</v>
      </c>
      <c r="AI48" s="75">
        <f t="shared" si="34"/>
        <v>0</v>
      </c>
      <c r="AJ48" s="75">
        <f t="shared" si="34"/>
        <v>2.5981822104246201E-3</v>
      </c>
      <c r="AK48" s="75">
        <f t="shared" si="34"/>
        <v>0</v>
      </c>
      <c r="AL48" s="75">
        <f t="shared" si="34"/>
        <v>0</v>
      </c>
      <c r="AM48" s="75">
        <f t="shared" si="34"/>
        <v>1.9904983444795663</v>
      </c>
      <c r="AN48" s="75"/>
      <c r="AO48" s="75"/>
      <c r="AP48" s="76" t="e">
        <f>+VLOOKUP($A48,#REF!,2,FALSE)</f>
        <v>#REF!</v>
      </c>
    </row>
    <row r="49" spans="1:42" s="77" customFormat="1">
      <c r="A49" s="79" t="s">
        <v>209</v>
      </c>
      <c r="B49" s="72">
        <v>22185</v>
      </c>
      <c r="C49" s="92">
        <v>21.116199999999999</v>
      </c>
      <c r="D49" s="92">
        <v>4.8760000000000003</v>
      </c>
      <c r="E49" s="92">
        <v>0</v>
      </c>
      <c r="F49" s="92">
        <v>0.184</v>
      </c>
      <c r="G49" s="92">
        <v>19.637999999999998</v>
      </c>
      <c r="H49" s="92">
        <f t="shared" si="35"/>
        <v>45.8142</v>
      </c>
      <c r="I49" s="72">
        <v>12395</v>
      </c>
      <c r="J49" s="72">
        <v>12938</v>
      </c>
      <c r="K49" s="72">
        <f t="shared" si="4"/>
        <v>543</v>
      </c>
      <c r="L49" s="72">
        <v>221</v>
      </c>
      <c r="M49" s="72">
        <v>0</v>
      </c>
      <c r="N49" s="72">
        <v>816</v>
      </c>
      <c r="O49" s="72">
        <v>948</v>
      </c>
      <c r="P49" s="72">
        <v>0</v>
      </c>
      <c r="Q49" s="72">
        <v>106</v>
      </c>
      <c r="R49" s="72">
        <v>0</v>
      </c>
      <c r="S49" s="72">
        <v>0</v>
      </c>
      <c r="T49" s="72">
        <f t="shared" si="36"/>
        <v>27967</v>
      </c>
      <c r="U49" s="73" t="s">
        <v>328</v>
      </c>
      <c r="V49" s="117"/>
      <c r="W49" s="74"/>
      <c r="X49" s="75">
        <f t="shared" si="27"/>
        <v>9.5182330403425738E-4</v>
      </c>
      <c r="Y49" s="75">
        <f t="shared" si="28"/>
        <v>2.1978814514311473E-4</v>
      </c>
      <c r="Z49" s="75">
        <f t="shared" si="29"/>
        <v>0</v>
      </c>
      <c r="AA49" s="75">
        <f t="shared" si="30"/>
        <v>8.2938922695514982E-6</v>
      </c>
      <c r="AB49" s="75">
        <f t="shared" si="31"/>
        <v>8.8519269776876261E-4</v>
      </c>
      <c r="AC49" s="75">
        <f t="shared" si="32"/>
        <v>2.0650980392156863E-3</v>
      </c>
      <c r="AD49" s="75">
        <f t="shared" si="33"/>
        <v>0.55871084065810228</v>
      </c>
      <c r="AE49" s="75">
        <f t="shared" si="34"/>
        <v>9.9616858237547897E-3</v>
      </c>
      <c r="AF49" s="75">
        <f t="shared" si="34"/>
        <v>0</v>
      </c>
      <c r="AG49" s="75">
        <f t="shared" si="34"/>
        <v>3.6781609195402298E-2</v>
      </c>
      <c r="AH49" s="75">
        <f t="shared" si="34"/>
        <v>4.27315753887762E-2</v>
      </c>
      <c r="AI49" s="75">
        <f t="shared" si="34"/>
        <v>0</v>
      </c>
      <c r="AJ49" s="75">
        <f t="shared" si="34"/>
        <v>4.7780031552851028E-3</v>
      </c>
      <c r="AK49" s="75">
        <f t="shared" si="34"/>
        <v>0</v>
      </c>
      <c r="AL49" s="75">
        <f t="shared" si="34"/>
        <v>0</v>
      </c>
      <c r="AM49" s="75">
        <f t="shared" si="34"/>
        <v>1.2606265494703628</v>
      </c>
      <c r="AN49" s="75"/>
      <c r="AO49" s="75"/>
      <c r="AP49" s="76" t="e">
        <f>+VLOOKUP($A49,#REF!,2,FALSE)</f>
        <v>#REF!</v>
      </c>
    </row>
    <row r="50" spans="1:42" s="77" customFormat="1">
      <c r="A50" s="79" t="s">
        <v>122</v>
      </c>
      <c r="B50" s="72">
        <v>1384</v>
      </c>
      <c r="C50" s="92">
        <v>0.52963575888485293</v>
      </c>
      <c r="D50" s="92">
        <v>0.18479999999999996</v>
      </c>
      <c r="E50" s="92">
        <v>0</v>
      </c>
      <c r="F50" s="92">
        <v>0</v>
      </c>
      <c r="G50" s="92">
        <v>0</v>
      </c>
      <c r="H50" s="92">
        <f t="shared" si="35"/>
        <v>0.71443575888485289</v>
      </c>
      <c r="I50" s="72">
        <f>1314-88</f>
        <v>1226</v>
      </c>
      <c r="J50" s="72">
        <v>1226</v>
      </c>
      <c r="K50" s="72">
        <f t="shared" si="4"/>
        <v>0</v>
      </c>
      <c r="L50" s="72">
        <v>0</v>
      </c>
      <c r="M50" s="72">
        <v>3</v>
      </c>
      <c r="N50" s="72">
        <v>0</v>
      </c>
      <c r="O50" s="72">
        <v>0</v>
      </c>
      <c r="P50" s="72">
        <v>46</v>
      </c>
      <c r="Q50" s="72">
        <v>32</v>
      </c>
      <c r="R50" s="72">
        <v>0</v>
      </c>
      <c r="S50" s="72">
        <v>77</v>
      </c>
      <c r="T50" s="72">
        <f t="shared" si="36"/>
        <v>2610</v>
      </c>
      <c r="U50" s="73" t="s">
        <v>328</v>
      </c>
      <c r="V50" s="117"/>
      <c r="W50" s="74"/>
      <c r="X50" s="75">
        <f t="shared" si="27"/>
        <v>3.8268479688211915E-4</v>
      </c>
      <c r="Y50" s="75">
        <f t="shared" si="28"/>
        <v>1.3352601156069361E-4</v>
      </c>
      <c r="Z50" s="75">
        <f t="shared" si="29"/>
        <v>0</v>
      </c>
      <c r="AA50" s="75">
        <f t="shared" si="30"/>
        <v>0</v>
      </c>
      <c r="AB50" s="75">
        <f t="shared" si="31"/>
        <v>0</v>
      </c>
      <c r="AC50" s="75">
        <f t="shared" si="32"/>
        <v>5.1621080844281282E-4</v>
      </c>
      <c r="AD50" s="75">
        <f t="shared" si="33"/>
        <v>0.88583815028901736</v>
      </c>
      <c r="AE50" s="75">
        <f t="shared" si="34"/>
        <v>0</v>
      </c>
      <c r="AF50" s="75">
        <f t="shared" si="34"/>
        <v>2.167630057803468E-3</v>
      </c>
      <c r="AG50" s="75">
        <f t="shared" si="34"/>
        <v>0</v>
      </c>
      <c r="AH50" s="75">
        <f t="shared" si="34"/>
        <v>0</v>
      </c>
      <c r="AI50" s="75">
        <f t="shared" si="34"/>
        <v>3.3236994219653176E-2</v>
      </c>
      <c r="AJ50" s="75">
        <f t="shared" si="34"/>
        <v>2.3121387283236993E-2</v>
      </c>
      <c r="AK50" s="75">
        <f t="shared" si="34"/>
        <v>0</v>
      </c>
      <c r="AL50" s="75">
        <f t="shared" si="34"/>
        <v>5.5635838150289017E-2</v>
      </c>
      <c r="AM50" s="75">
        <f t="shared" si="34"/>
        <v>1.8858381502890174</v>
      </c>
      <c r="AN50" s="75"/>
      <c r="AO50" s="75"/>
      <c r="AP50" s="76" t="e">
        <f>+VLOOKUP($A50,#REF!,2,FALSE)</f>
        <v>#REF!</v>
      </c>
    </row>
    <row r="51" spans="1:42" s="77" customFormat="1">
      <c r="A51" s="79" t="s">
        <v>215</v>
      </c>
      <c r="B51" s="72">
        <v>210875</v>
      </c>
      <c r="C51" s="92">
        <v>94.799000000000007</v>
      </c>
      <c r="D51" s="92">
        <v>1.0149999999999999</v>
      </c>
      <c r="E51" s="92">
        <v>0</v>
      </c>
      <c r="F51" s="92">
        <v>0</v>
      </c>
      <c r="G51" s="92">
        <v>0</v>
      </c>
      <c r="H51" s="92">
        <f t="shared" si="35"/>
        <v>95.814000000000007</v>
      </c>
      <c r="I51" s="72">
        <v>129999</v>
      </c>
      <c r="J51" s="72">
        <v>193000</v>
      </c>
      <c r="K51" s="72">
        <f t="shared" si="4"/>
        <v>63001</v>
      </c>
      <c r="L51" s="72">
        <v>0</v>
      </c>
      <c r="M51" s="72">
        <v>0</v>
      </c>
      <c r="N51" s="72">
        <v>0</v>
      </c>
      <c r="O51" s="72">
        <v>793</v>
      </c>
      <c r="P51" s="72">
        <v>3404</v>
      </c>
      <c r="Q51" s="72">
        <v>2603</v>
      </c>
      <c r="R51" s="72">
        <v>0</v>
      </c>
      <c r="S51" s="72">
        <v>0</v>
      </c>
      <c r="T51" s="72">
        <f t="shared" si="36"/>
        <v>392800</v>
      </c>
      <c r="U51" s="73" t="s">
        <v>328</v>
      </c>
      <c r="V51" s="117"/>
      <c r="W51" s="74"/>
      <c r="X51" s="75">
        <f t="shared" si="27"/>
        <v>4.495506816834618E-4</v>
      </c>
      <c r="Y51" s="75">
        <f t="shared" si="28"/>
        <v>4.8132780082987544E-6</v>
      </c>
      <c r="Z51" s="75">
        <f t="shared" si="29"/>
        <v>0</v>
      </c>
      <c r="AA51" s="75">
        <f t="shared" si="30"/>
        <v>0</v>
      </c>
      <c r="AB51" s="75">
        <f t="shared" si="31"/>
        <v>0</v>
      </c>
      <c r="AC51" s="75">
        <f t="shared" si="32"/>
        <v>4.5436395969176058E-4</v>
      </c>
      <c r="AD51" s="75">
        <f t="shared" si="33"/>
        <v>0.61647421458209839</v>
      </c>
      <c r="AE51" s="75">
        <f t="shared" si="34"/>
        <v>0</v>
      </c>
      <c r="AF51" s="75">
        <f t="shared" si="34"/>
        <v>0</v>
      </c>
      <c r="AG51" s="75">
        <f t="shared" si="34"/>
        <v>0</v>
      </c>
      <c r="AH51" s="75">
        <f t="shared" si="34"/>
        <v>3.7605216360403083E-3</v>
      </c>
      <c r="AI51" s="75">
        <f t="shared" si="34"/>
        <v>1.6142264374629518E-2</v>
      </c>
      <c r="AJ51" s="75">
        <f t="shared" si="34"/>
        <v>1.2343805572021339E-2</v>
      </c>
      <c r="AK51" s="75">
        <f t="shared" si="34"/>
        <v>0</v>
      </c>
      <c r="AL51" s="75">
        <f t="shared" si="34"/>
        <v>0</v>
      </c>
      <c r="AM51" s="75">
        <f t="shared" si="34"/>
        <v>1.8627148784825134</v>
      </c>
      <c r="AN51" s="75"/>
      <c r="AO51" s="75"/>
      <c r="AP51" s="76" t="e">
        <f>+VLOOKUP($A51,#REF!,2,FALSE)</f>
        <v>#REF!</v>
      </c>
    </row>
    <row r="52" spans="1:42" s="77" customFormat="1">
      <c r="A52" s="79" t="s">
        <v>265</v>
      </c>
      <c r="B52" s="72">
        <v>95750</v>
      </c>
      <c r="C52" s="92">
        <v>29.98276573124171</v>
      </c>
      <c r="D52" s="92">
        <v>20.172449315068516</v>
      </c>
      <c r="E52" s="92">
        <v>1.3106849315068438</v>
      </c>
      <c r="F52" s="92">
        <v>2.0444444444444394</v>
      </c>
      <c r="G52" s="92">
        <v>21.958924772367482</v>
      </c>
      <c r="H52" s="92">
        <f t="shared" si="35"/>
        <v>75.469269194628993</v>
      </c>
      <c r="I52" s="72">
        <v>77000</v>
      </c>
      <c r="J52" s="72">
        <v>84000</v>
      </c>
      <c r="K52" s="72">
        <f t="shared" si="4"/>
        <v>7000</v>
      </c>
      <c r="L52" s="72">
        <v>6000</v>
      </c>
      <c r="M52" s="72">
        <v>0</v>
      </c>
      <c r="N52" s="72">
        <v>0</v>
      </c>
      <c r="O52" s="72">
        <v>0</v>
      </c>
      <c r="P52" s="72">
        <v>0</v>
      </c>
      <c r="Q52" s="72">
        <v>3000</v>
      </c>
      <c r="R52" s="72">
        <v>0</v>
      </c>
      <c r="S52" s="72">
        <v>0</v>
      </c>
      <c r="T52" s="72">
        <f t="shared" si="36"/>
        <v>177000</v>
      </c>
      <c r="U52" s="73" t="s">
        <v>328</v>
      </c>
      <c r="V52" s="117"/>
      <c r="W52" s="74"/>
      <c r="X52" s="75">
        <f t="shared" si="27"/>
        <v>3.1313593452993952E-4</v>
      </c>
      <c r="Y52" s="75">
        <f t="shared" si="28"/>
        <v>2.1067832182839179E-4</v>
      </c>
      <c r="Z52" s="75">
        <f t="shared" si="29"/>
        <v>1.3688615472656332E-5</v>
      </c>
      <c r="AA52" s="75">
        <f t="shared" si="30"/>
        <v>2.1351900203075087E-5</v>
      </c>
      <c r="AB52" s="75">
        <f t="shared" si="31"/>
        <v>2.2933602895422957E-4</v>
      </c>
      <c r="AC52" s="75">
        <f t="shared" si="32"/>
        <v>7.8819080098829232E-4</v>
      </c>
      <c r="AD52" s="75">
        <f t="shared" si="33"/>
        <v>0.80417754569190603</v>
      </c>
      <c r="AE52" s="75">
        <f t="shared" si="34"/>
        <v>6.2663185378590072E-2</v>
      </c>
      <c r="AF52" s="75">
        <f t="shared" si="34"/>
        <v>0</v>
      </c>
      <c r="AG52" s="75">
        <f t="shared" si="34"/>
        <v>0</v>
      </c>
      <c r="AH52" s="75">
        <f t="shared" si="34"/>
        <v>0</v>
      </c>
      <c r="AI52" s="75">
        <f t="shared" si="34"/>
        <v>0</v>
      </c>
      <c r="AJ52" s="75">
        <f t="shared" si="34"/>
        <v>3.1331592689295036E-2</v>
      </c>
      <c r="AK52" s="75">
        <f t="shared" si="34"/>
        <v>0</v>
      </c>
      <c r="AL52" s="75">
        <f t="shared" si="34"/>
        <v>0</v>
      </c>
      <c r="AM52" s="75">
        <f t="shared" si="34"/>
        <v>1.8485639686684072</v>
      </c>
      <c r="AN52" s="75"/>
      <c r="AO52" s="75"/>
      <c r="AP52" s="76" t="e">
        <f>+VLOOKUP($A52,#REF!,2,FALSE)</f>
        <v>#REF!</v>
      </c>
    </row>
    <row r="53" spans="1:42" s="77" customFormat="1">
      <c r="A53" s="79" t="s">
        <v>254</v>
      </c>
      <c r="B53" s="72">
        <v>53159</v>
      </c>
      <c r="C53" s="92">
        <v>70.239411577241256</v>
      </c>
      <c r="D53" s="92">
        <v>0.85357999999999967</v>
      </c>
      <c r="E53" s="92">
        <v>0</v>
      </c>
      <c r="F53" s="92">
        <v>0</v>
      </c>
      <c r="G53" s="92">
        <v>0</v>
      </c>
      <c r="H53" s="92">
        <f t="shared" si="35"/>
        <v>71.09299157724125</v>
      </c>
      <c r="I53" s="72">
        <v>47550</v>
      </c>
      <c r="J53" s="72">
        <v>47550</v>
      </c>
      <c r="K53" s="72">
        <f t="shared" si="4"/>
        <v>0</v>
      </c>
      <c r="L53" s="72">
        <v>0</v>
      </c>
      <c r="M53" s="72">
        <v>0</v>
      </c>
      <c r="N53" s="72">
        <v>0</v>
      </c>
      <c r="O53" s="72">
        <v>0</v>
      </c>
      <c r="P53" s="72">
        <v>1064</v>
      </c>
      <c r="Q53" s="72">
        <v>591</v>
      </c>
      <c r="R53" s="72">
        <v>0</v>
      </c>
      <c r="S53" s="72">
        <v>0</v>
      </c>
      <c r="T53" s="72">
        <f t="shared" si="36"/>
        <v>96755</v>
      </c>
      <c r="U53" s="73" t="s">
        <v>328</v>
      </c>
      <c r="V53" s="117"/>
      <c r="W53" s="74"/>
      <c r="X53" s="75">
        <f t="shared" si="27"/>
        <v>1.3213079925739999E-3</v>
      </c>
      <c r="Y53" s="75">
        <f t="shared" si="28"/>
        <v>1.605711168381647E-5</v>
      </c>
      <c r="Z53" s="75">
        <f t="shared" si="29"/>
        <v>0</v>
      </c>
      <c r="AA53" s="75">
        <f t="shared" si="30"/>
        <v>0</v>
      </c>
      <c r="AB53" s="75">
        <f t="shared" si="31"/>
        <v>0</v>
      </c>
      <c r="AC53" s="75">
        <f t="shared" si="32"/>
        <v>1.3373651042578162E-3</v>
      </c>
      <c r="AD53" s="75">
        <f t="shared" si="33"/>
        <v>0.89448635226396278</v>
      </c>
      <c r="AE53" s="75">
        <f t="shared" si="34"/>
        <v>0</v>
      </c>
      <c r="AF53" s="75">
        <f t="shared" si="34"/>
        <v>0</v>
      </c>
      <c r="AG53" s="75">
        <f t="shared" si="34"/>
        <v>0</v>
      </c>
      <c r="AH53" s="75">
        <f t="shared" si="34"/>
        <v>0</v>
      </c>
      <c r="AI53" s="75">
        <f t="shared" si="34"/>
        <v>2.0015425421847664E-2</v>
      </c>
      <c r="AJ53" s="75">
        <f t="shared" si="34"/>
        <v>1.1117590624353356E-2</v>
      </c>
      <c r="AK53" s="75">
        <f t="shared" si="34"/>
        <v>0</v>
      </c>
      <c r="AL53" s="75">
        <f t="shared" si="34"/>
        <v>0</v>
      </c>
      <c r="AM53" s="75">
        <f t="shared" si="34"/>
        <v>1.8201057205741267</v>
      </c>
      <c r="AN53" s="75"/>
      <c r="AO53" s="75"/>
      <c r="AP53" s="76" t="e">
        <f>+VLOOKUP($A53,#REF!,2,FALSE)</f>
        <v>#REF!</v>
      </c>
    </row>
    <row r="54" spans="1:42" s="77" customFormat="1">
      <c r="A54" s="78" t="s">
        <v>264</v>
      </c>
      <c r="B54" s="72">
        <v>48950</v>
      </c>
      <c r="C54" s="92">
        <v>11.091729422621492</v>
      </c>
      <c r="D54" s="92">
        <v>2.4480000000000017</v>
      </c>
      <c r="E54" s="92">
        <v>8.7210000000000121E-2</v>
      </c>
      <c r="F54" s="92">
        <v>0</v>
      </c>
      <c r="G54" s="92">
        <v>155.60000000000005</v>
      </c>
      <c r="H54" s="92">
        <f t="shared" si="35"/>
        <v>169.22693942262154</v>
      </c>
      <c r="I54" s="72">
        <v>30500</v>
      </c>
      <c r="J54" s="72">
        <v>42500</v>
      </c>
      <c r="K54" s="72">
        <f t="shared" si="4"/>
        <v>12000</v>
      </c>
      <c r="L54" s="72">
        <v>0</v>
      </c>
      <c r="M54" s="72">
        <v>0</v>
      </c>
      <c r="N54" s="72">
        <v>1850</v>
      </c>
      <c r="O54" s="72">
        <v>65</v>
      </c>
      <c r="P54" s="72">
        <v>0</v>
      </c>
      <c r="Q54" s="72">
        <v>58</v>
      </c>
      <c r="R54" s="72">
        <v>0</v>
      </c>
      <c r="S54" s="72">
        <v>0</v>
      </c>
      <c r="T54" s="72">
        <f t="shared" si="36"/>
        <v>86973</v>
      </c>
      <c r="U54" s="73" t="s">
        <v>328</v>
      </c>
      <c r="V54" s="117"/>
      <c r="W54" s="74"/>
      <c r="X54" s="75">
        <f t="shared" si="27"/>
        <v>2.2659304234160353E-4</v>
      </c>
      <c r="Y54" s="75">
        <f t="shared" si="28"/>
        <v>5.0010214504596564E-5</v>
      </c>
      <c r="Z54" s="75">
        <f t="shared" si="29"/>
        <v>1.7816138917262538E-6</v>
      </c>
      <c r="AA54" s="75">
        <f t="shared" si="30"/>
        <v>0</v>
      </c>
      <c r="AB54" s="75">
        <f t="shared" si="31"/>
        <v>3.1787538304392246E-3</v>
      </c>
      <c r="AC54" s="75">
        <f t="shared" si="32"/>
        <v>3.4571387011771509E-3</v>
      </c>
      <c r="AD54" s="75">
        <f t="shared" si="33"/>
        <v>0.62308478038815118</v>
      </c>
      <c r="AE54" s="75">
        <f t="shared" si="34"/>
        <v>0</v>
      </c>
      <c r="AF54" s="75">
        <f t="shared" si="34"/>
        <v>0</v>
      </c>
      <c r="AG54" s="75">
        <f t="shared" si="34"/>
        <v>3.7793667007150152E-2</v>
      </c>
      <c r="AH54" s="75">
        <f t="shared" si="34"/>
        <v>1.3278855975485189E-3</v>
      </c>
      <c r="AI54" s="75">
        <f t="shared" si="34"/>
        <v>0</v>
      </c>
      <c r="AJ54" s="75">
        <f t="shared" si="34"/>
        <v>1.18488253319714E-3</v>
      </c>
      <c r="AK54" s="75">
        <f t="shared" si="34"/>
        <v>0</v>
      </c>
      <c r="AL54" s="75">
        <f t="shared" si="34"/>
        <v>0</v>
      </c>
      <c r="AM54" s="75">
        <f t="shared" si="34"/>
        <v>1.7767722165474975</v>
      </c>
      <c r="AN54" s="75"/>
      <c r="AO54" s="75"/>
      <c r="AP54" s="76" t="e">
        <f>+VLOOKUP($A54,#REF!,2,FALSE)</f>
        <v>#REF!</v>
      </c>
    </row>
    <row r="55" spans="1:42" s="77" customFormat="1">
      <c r="A55" s="80" t="s">
        <v>9</v>
      </c>
      <c r="B55" s="90">
        <f>SUM(B45:B54)</f>
        <v>582866</v>
      </c>
      <c r="C55" s="93">
        <f t="shared" ref="C55:T55" si="37">SUM(C45:C54)</f>
        <v>352.72167278721167</v>
      </c>
      <c r="D55" s="93">
        <f t="shared" si="37"/>
        <v>35.727046251868515</v>
      </c>
      <c r="E55" s="93">
        <f t="shared" si="37"/>
        <v>1.3978949315068441</v>
      </c>
      <c r="F55" s="93">
        <f t="shared" si="37"/>
        <v>2.2284444444444396</v>
      </c>
      <c r="G55" s="93">
        <f t="shared" si="37"/>
        <v>215.51692477236753</v>
      </c>
      <c r="H55" s="93">
        <f t="shared" si="37"/>
        <v>607.59198318739902</v>
      </c>
      <c r="I55" s="90">
        <f t="shared" si="37"/>
        <v>440771</v>
      </c>
      <c r="J55" s="90">
        <f t="shared" si="37"/>
        <v>525674</v>
      </c>
      <c r="K55" s="90">
        <f t="shared" si="37"/>
        <v>84903</v>
      </c>
      <c r="L55" s="90">
        <f t="shared" si="37"/>
        <v>6800</v>
      </c>
      <c r="M55" s="90">
        <f t="shared" si="37"/>
        <v>166</v>
      </c>
      <c r="N55" s="90">
        <f t="shared" si="37"/>
        <v>3673</v>
      </c>
      <c r="O55" s="90">
        <f t="shared" si="37"/>
        <v>1928</v>
      </c>
      <c r="P55" s="90">
        <f t="shared" si="37"/>
        <v>8735</v>
      </c>
      <c r="Q55" s="90">
        <f t="shared" si="37"/>
        <v>7644</v>
      </c>
      <c r="R55" s="90">
        <f t="shared" si="37"/>
        <v>0</v>
      </c>
      <c r="S55" s="90">
        <f t="shared" si="37"/>
        <v>1193</v>
      </c>
      <c r="T55" s="90">
        <f t="shared" si="37"/>
        <v>1081487</v>
      </c>
      <c r="U55" s="80"/>
      <c r="V55" s="117"/>
      <c r="W55" s="74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6"/>
    </row>
    <row r="56" spans="1:42" s="77" customFormat="1">
      <c r="A56" s="81" t="s">
        <v>339</v>
      </c>
      <c r="B56" s="72"/>
      <c r="C56" s="92"/>
      <c r="D56" s="92"/>
      <c r="E56" s="92"/>
      <c r="F56" s="92"/>
      <c r="G56" s="92"/>
      <c r="H56" s="9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3"/>
      <c r="V56" s="117"/>
      <c r="W56" s="74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6"/>
    </row>
    <row r="57" spans="1:42" s="77" customFormat="1">
      <c r="A57" s="79" t="s">
        <v>46</v>
      </c>
      <c r="B57" s="72">
        <v>16184</v>
      </c>
      <c r="C57" s="92">
        <v>25.58</v>
      </c>
      <c r="D57" s="92">
        <v>0</v>
      </c>
      <c r="E57" s="92">
        <v>0</v>
      </c>
      <c r="F57" s="92">
        <v>0</v>
      </c>
      <c r="G57" s="92">
        <v>0</v>
      </c>
      <c r="H57" s="92">
        <f>SUM(C57:G57)</f>
        <v>25.58</v>
      </c>
      <c r="I57" s="72">
        <f>15871-622</f>
        <v>15249</v>
      </c>
      <c r="J57" s="72">
        <v>15320</v>
      </c>
      <c r="K57" s="72">
        <f t="shared" si="4"/>
        <v>71</v>
      </c>
      <c r="L57" s="72">
        <v>0</v>
      </c>
      <c r="M57" s="72">
        <v>0</v>
      </c>
      <c r="N57" s="72">
        <v>905</v>
      </c>
      <c r="O57" s="72">
        <v>0</v>
      </c>
      <c r="P57" s="72">
        <v>0</v>
      </c>
      <c r="Q57" s="72">
        <v>30</v>
      </c>
      <c r="R57" s="72">
        <v>0</v>
      </c>
      <c r="S57" s="72">
        <v>0</v>
      </c>
      <c r="T57" s="72">
        <f>SUM(I57:S57)</f>
        <v>31575</v>
      </c>
      <c r="U57" s="73" t="s">
        <v>328</v>
      </c>
      <c r="V57" s="117"/>
      <c r="W57" s="74"/>
      <c r="X57" s="75">
        <f t="shared" ref="X57:X67" si="38">+C57/$B57</f>
        <v>1.5805734058329214E-3</v>
      </c>
      <c r="Y57" s="75">
        <f t="shared" ref="Y57:Y67" si="39">+D57/$B57</f>
        <v>0</v>
      </c>
      <c r="Z57" s="75">
        <f t="shared" ref="Z57:Z67" si="40">+E57/$B57</f>
        <v>0</v>
      </c>
      <c r="AA57" s="75">
        <f t="shared" ref="AA57:AA67" si="41">+F57/$B57</f>
        <v>0</v>
      </c>
      <c r="AB57" s="75">
        <f t="shared" ref="AB57:AB67" si="42">+G57/$B57</f>
        <v>0</v>
      </c>
      <c r="AC57" s="75">
        <f t="shared" ref="AC57:AC67" si="43">+H57/$B57</f>
        <v>1.5805734058329214E-3</v>
      </c>
      <c r="AD57" s="75">
        <f t="shared" ref="AD57:AD67" si="44">+I57/$B57</f>
        <v>0.9422268907563025</v>
      </c>
      <c r="AE57" s="75">
        <f t="shared" ref="AE57:AM67" si="45">+L57/$B57</f>
        <v>0</v>
      </c>
      <c r="AF57" s="75">
        <f t="shared" si="45"/>
        <v>0</v>
      </c>
      <c r="AG57" s="75">
        <f t="shared" si="45"/>
        <v>5.5919426594167078E-2</v>
      </c>
      <c r="AH57" s="75">
        <f t="shared" si="45"/>
        <v>0</v>
      </c>
      <c r="AI57" s="75">
        <f t="shared" si="45"/>
        <v>0</v>
      </c>
      <c r="AJ57" s="75">
        <f t="shared" si="45"/>
        <v>1.8536826495304003E-3</v>
      </c>
      <c r="AK57" s="75">
        <f t="shared" si="45"/>
        <v>0</v>
      </c>
      <c r="AL57" s="75">
        <f t="shared" si="45"/>
        <v>0</v>
      </c>
      <c r="AM57" s="75">
        <f t="shared" si="45"/>
        <v>1.9510009886307464</v>
      </c>
      <c r="AN57" s="75"/>
      <c r="AO57" s="75"/>
      <c r="AP57" s="76" t="e">
        <f>+VLOOKUP($A57,#REF!,2,FALSE)</f>
        <v>#REF!</v>
      </c>
    </row>
    <row r="58" spans="1:42" s="77" customFormat="1">
      <c r="A58" s="78" t="s">
        <v>173</v>
      </c>
      <c r="B58" s="72">
        <v>49504</v>
      </c>
      <c r="C58" s="92">
        <v>28.374670685593934</v>
      </c>
      <c r="D58" s="92">
        <v>0</v>
      </c>
      <c r="E58" s="92">
        <v>1.362252</v>
      </c>
      <c r="F58" s="92">
        <v>0</v>
      </c>
      <c r="G58" s="92">
        <v>0</v>
      </c>
      <c r="H58" s="92">
        <f t="shared" ref="H58:H67" si="46">SUM(C58:G58)</f>
        <v>29.736922685593935</v>
      </c>
      <c r="I58" s="72">
        <f>50947-1564</f>
        <v>49383</v>
      </c>
      <c r="J58" s="72">
        <v>49202</v>
      </c>
      <c r="K58" s="72">
        <f t="shared" si="4"/>
        <v>-181</v>
      </c>
      <c r="L58" s="72">
        <v>0</v>
      </c>
      <c r="M58" s="72">
        <v>0</v>
      </c>
      <c r="N58" s="72">
        <v>79</v>
      </c>
      <c r="O58" s="72">
        <v>0</v>
      </c>
      <c r="P58" s="72">
        <v>0</v>
      </c>
      <c r="Q58" s="72">
        <v>42</v>
      </c>
      <c r="R58" s="72">
        <v>0</v>
      </c>
      <c r="S58" s="72">
        <v>0</v>
      </c>
      <c r="T58" s="72">
        <f t="shared" ref="T58:T67" si="47">SUM(I58:S58)</f>
        <v>98525</v>
      </c>
      <c r="U58" s="73" t="s">
        <v>328</v>
      </c>
      <c r="V58" s="117"/>
      <c r="W58" s="74"/>
      <c r="X58" s="75">
        <f t="shared" si="38"/>
        <v>5.7317935289257296E-4</v>
      </c>
      <c r="Y58" s="75">
        <f t="shared" si="39"/>
        <v>0</v>
      </c>
      <c r="Z58" s="75">
        <f t="shared" si="40"/>
        <v>2.7518018745959923E-5</v>
      </c>
      <c r="AA58" s="75">
        <f t="shared" si="41"/>
        <v>0</v>
      </c>
      <c r="AB58" s="75">
        <f t="shared" si="42"/>
        <v>0</v>
      </c>
      <c r="AC58" s="75">
        <f t="shared" si="43"/>
        <v>6.0069737163853296E-4</v>
      </c>
      <c r="AD58" s="75">
        <f t="shared" si="44"/>
        <v>0.99755575307045896</v>
      </c>
      <c r="AE58" s="75">
        <f t="shared" si="45"/>
        <v>0</v>
      </c>
      <c r="AF58" s="75">
        <f t="shared" si="45"/>
        <v>0</v>
      </c>
      <c r="AG58" s="75">
        <f t="shared" si="45"/>
        <v>1.595830639948287E-3</v>
      </c>
      <c r="AH58" s="75">
        <f t="shared" si="45"/>
        <v>0</v>
      </c>
      <c r="AI58" s="75">
        <f t="shared" si="45"/>
        <v>0</v>
      </c>
      <c r="AJ58" s="75">
        <f t="shared" si="45"/>
        <v>8.484162895927602E-4</v>
      </c>
      <c r="AK58" s="75">
        <f t="shared" si="45"/>
        <v>0</v>
      </c>
      <c r="AL58" s="75">
        <f t="shared" si="45"/>
        <v>0</v>
      </c>
      <c r="AM58" s="75">
        <f t="shared" si="45"/>
        <v>1.9902432126696832</v>
      </c>
      <c r="AN58" s="75"/>
      <c r="AO58" s="75"/>
      <c r="AP58" s="76" t="e">
        <f>+VLOOKUP($A58,#REF!,2,FALSE)</f>
        <v>#REF!</v>
      </c>
    </row>
    <row r="59" spans="1:42" s="77" customFormat="1">
      <c r="A59" s="78" t="s">
        <v>40</v>
      </c>
      <c r="B59" s="72">
        <v>98435</v>
      </c>
      <c r="C59" s="92">
        <v>117</v>
      </c>
      <c r="D59" s="92">
        <v>3.331</v>
      </c>
      <c r="E59" s="92">
        <v>1.4370000000000001</v>
      </c>
      <c r="F59" s="92">
        <v>0</v>
      </c>
      <c r="G59" s="92">
        <v>0</v>
      </c>
      <c r="H59" s="92">
        <f t="shared" si="46"/>
        <v>121.768</v>
      </c>
      <c r="I59" s="72">
        <v>82955</v>
      </c>
      <c r="J59" s="72">
        <v>75971</v>
      </c>
      <c r="K59" s="72">
        <f t="shared" si="4"/>
        <v>-6984</v>
      </c>
      <c r="L59" s="72">
        <v>0</v>
      </c>
      <c r="M59" s="72">
        <v>0</v>
      </c>
      <c r="N59" s="72">
        <v>122</v>
      </c>
      <c r="O59" s="72">
        <v>5</v>
      </c>
      <c r="P59" s="72">
        <v>520</v>
      </c>
      <c r="Q59" s="72">
        <v>63</v>
      </c>
      <c r="R59" s="72">
        <v>0</v>
      </c>
      <c r="S59" s="72">
        <v>0</v>
      </c>
      <c r="T59" s="72">
        <f t="shared" si="47"/>
        <v>152652</v>
      </c>
      <c r="U59" s="73" t="s">
        <v>328</v>
      </c>
      <c r="V59" s="117"/>
      <c r="W59" s="74"/>
      <c r="X59" s="75">
        <f t="shared" si="38"/>
        <v>1.1886016152791183E-3</v>
      </c>
      <c r="Y59" s="75">
        <f t="shared" si="39"/>
        <v>3.3839589576878142E-5</v>
      </c>
      <c r="Z59" s="75">
        <f t="shared" si="40"/>
        <v>1.4598465992787119E-5</v>
      </c>
      <c r="AA59" s="75">
        <f t="shared" si="41"/>
        <v>0</v>
      </c>
      <c r="AB59" s="75">
        <f t="shared" si="42"/>
        <v>0</v>
      </c>
      <c r="AC59" s="75">
        <f t="shared" si="43"/>
        <v>1.2370396708487835E-3</v>
      </c>
      <c r="AD59" s="75">
        <f t="shared" si="44"/>
        <v>0.84273886320922431</v>
      </c>
      <c r="AE59" s="75">
        <f t="shared" si="45"/>
        <v>0</v>
      </c>
      <c r="AF59" s="75">
        <f t="shared" si="45"/>
        <v>0</v>
      </c>
      <c r="AG59" s="75">
        <f t="shared" si="45"/>
        <v>1.2393965561030122E-3</v>
      </c>
      <c r="AH59" s="75">
        <f t="shared" si="45"/>
        <v>5.0794940823893938E-5</v>
      </c>
      <c r="AI59" s="75">
        <f t="shared" si="45"/>
        <v>5.2826738456849699E-3</v>
      </c>
      <c r="AJ59" s="75">
        <f t="shared" si="45"/>
        <v>6.4001625438106361E-4</v>
      </c>
      <c r="AK59" s="75">
        <f t="shared" si="45"/>
        <v>0</v>
      </c>
      <c r="AL59" s="75">
        <f t="shared" si="45"/>
        <v>0</v>
      </c>
      <c r="AM59" s="75">
        <f t="shared" si="45"/>
        <v>1.5507898613298114</v>
      </c>
      <c r="AN59" s="75"/>
      <c r="AO59" s="75"/>
      <c r="AP59" s="76" t="e">
        <f>+VLOOKUP($A59,#REF!,2,FALSE)</f>
        <v>#REF!</v>
      </c>
    </row>
    <row r="60" spans="1:42" s="77" customFormat="1">
      <c r="A60" s="78" t="s">
        <v>185</v>
      </c>
      <c r="B60" s="72">
        <v>58667</v>
      </c>
      <c r="C60" s="92">
        <v>21.338999999999999</v>
      </c>
      <c r="D60" s="92">
        <v>0.83599999999999997</v>
      </c>
      <c r="E60" s="92">
        <v>0</v>
      </c>
      <c r="F60" s="92">
        <v>0</v>
      </c>
      <c r="G60" s="92">
        <v>2.0739999999999998</v>
      </c>
      <c r="H60" s="92">
        <f t="shared" si="46"/>
        <v>24.248999999999995</v>
      </c>
      <c r="I60" s="72">
        <f>62742-4774</f>
        <v>57968</v>
      </c>
      <c r="J60" s="72">
        <v>57968</v>
      </c>
      <c r="K60" s="72">
        <f t="shared" si="4"/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699</v>
      </c>
      <c r="R60" s="72">
        <v>0</v>
      </c>
      <c r="S60" s="72">
        <v>0</v>
      </c>
      <c r="T60" s="72">
        <f t="shared" si="47"/>
        <v>116635</v>
      </c>
      <c r="U60" s="73" t="s">
        <v>328</v>
      </c>
      <c r="V60" s="117"/>
      <c r="W60" s="74"/>
      <c r="X60" s="75">
        <f t="shared" si="38"/>
        <v>3.6373088789268238E-4</v>
      </c>
      <c r="Y60" s="75">
        <f t="shared" si="39"/>
        <v>1.4249919034550939E-5</v>
      </c>
      <c r="Z60" s="75">
        <f t="shared" si="40"/>
        <v>0</v>
      </c>
      <c r="AA60" s="75">
        <f t="shared" si="41"/>
        <v>0</v>
      </c>
      <c r="AB60" s="75">
        <f t="shared" si="42"/>
        <v>3.5352071863228045E-5</v>
      </c>
      <c r="AC60" s="75">
        <f t="shared" si="43"/>
        <v>4.1333287879046133E-4</v>
      </c>
      <c r="AD60" s="75">
        <f t="shared" si="44"/>
        <v>0.98808529496991493</v>
      </c>
      <c r="AE60" s="75">
        <f t="shared" si="45"/>
        <v>0</v>
      </c>
      <c r="AF60" s="75">
        <f t="shared" si="45"/>
        <v>0</v>
      </c>
      <c r="AG60" s="75">
        <f t="shared" si="45"/>
        <v>0</v>
      </c>
      <c r="AH60" s="75">
        <f t="shared" si="45"/>
        <v>0</v>
      </c>
      <c r="AI60" s="75">
        <f t="shared" si="45"/>
        <v>0</v>
      </c>
      <c r="AJ60" s="75">
        <f t="shared" si="45"/>
        <v>1.1914705030085057E-2</v>
      </c>
      <c r="AK60" s="75">
        <f t="shared" si="45"/>
        <v>0</v>
      </c>
      <c r="AL60" s="75">
        <f t="shared" si="45"/>
        <v>0</v>
      </c>
      <c r="AM60" s="75">
        <f t="shared" si="45"/>
        <v>1.988085294969915</v>
      </c>
      <c r="AN60" s="75"/>
      <c r="AO60" s="75"/>
      <c r="AP60" s="76" t="e">
        <f>+VLOOKUP($A60,#REF!,2,FALSE)</f>
        <v>#REF!</v>
      </c>
    </row>
    <row r="61" spans="1:42" s="77" customFormat="1">
      <c r="A61" s="78" t="s">
        <v>66</v>
      </c>
      <c r="B61" s="72">
        <v>25778</v>
      </c>
      <c r="C61" s="92">
        <v>29.667999999999999</v>
      </c>
      <c r="D61" s="92">
        <v>5.58</v>
      </c>
      <c r="E61" s="92">
        <v>0</v>
      </c>
      <c r="F61" s="92">
        <v>0</v>
      </c>
      <c r="G61" s="92">
        <v>0</v>
      </c>
      <c r="H61" s="92">
        <f t="shared" si="46"/>
        <v>35.247999999999998</v>
      </c>
      <c r="I61" s="72">
        <f>24521-1339</f>
        <v>23182</v>
      </c>
      <c r="J61" s="72">
        <v>23172</v>
      </c>
      <c r="K61" s="72">
        <f t="shared" si="4"/>
        <v>-10</v>
      </c>
      <c r="L61" s="72">
        <v>100</v>
      </c>
      <c r="M61" s="72">
        <v>120</v>
      </c>
      <c r="N61" s="72">
        <v>1250</v>
      </c>
      <c r="O61" s="72">
        <v>510</v>
      </c>
      <c r="P61" s="72">
        <v>60</v>
      </c>
      <c r="Q61" s="72">
        <v>556</v>
      </c>
      <c r="R61" s="72">
        <v>0</v>
      </c>
      <c r="S61" s="72">
        <v>0</v>
      </c>
      <c r="T61" s="72">
        <f t="shared" si="47"/>
        <v>48940</v>
      </c>
      <c r="U61" s="73" t="s">
        <v>328</v>
      </c>
      <c r="V61" s="117"/>
      <c r="W61" s="74"/>
      <c r="X61" s="75">
        <f t="shared" si="38"/>
        <v>1.150903871518349E-3</v>
      </c>
      <c r="Y61" s="75">
        <f t="shared" si="39"/>
        <v>2.1646365117542089E-4</v>
      </c>
      <c r="Z61" s="75">
        <f t="shared" si="40"/>
        <v>0</v>
      </c>
      <c r="AA61" s="75">
        <f t="shared" si="41"/>
        <v>0</v>
      </c>
      <c r="AB61" s="75">
        <f t="shared" si="42"/>
        <v>0</v>
      </c>
      <c r="AC61" s="75">
        <f t="shared" si="43"/>
        <v>1.3673675226937698E-3</v>
      </c>
      <c r="AD61" s="75">
        <f t="shared" si="44"/>
        <v>0.89929397160369307</v>
      </c>
      <c r="AE61" s="75">
        <f t="shared" si="45"/>
        <v>3.879276902785321E-3</v>
      </c>
      <c r="AF61" s="75">
        <f t="shared" si="45"/>
        <v>4.6551322833423853E-3</v>
      </c>
      <c r="AG61" s="75">
        <f t="shared" si="45"/>
        <v>4.849096128481651E-2</v>
      </c>
      <c r="AH61" s="75">
        <f t="shared" si="45"/>
        <v>1.9784312204205137E-2</v>
      </c>
      <c r="AI61" s="75">
        <f t="shared" si="45"/>
        <v>2.3275661416711927E-3</v>
      </c>
      <c r="AJ61" s="75">
        <f t="shared" si="45"/>
        <v>2.1568779579486382E-2</v>
      </c>
      <c r="AK61" s="75">
        <f t="shared" si="45"/>
        <v>0</v>
      </c>
      <c r="AL61" s="75">
        <f t="shared" si="45"/>
        <v>0</v>
      </c>
      <c r="AM61" s="75">
        <f t="shared" si="45"/>
        <v>1.8985181162231359</v>
      </c>
      <c r="AN61" s="75"/>
      <c r="AO61" s="75"/>
      <c r="AP61" s="76" t="e">
        <f>+VLOOKUP($A61,#REF!,2,FALSE)</f>
        <v>#REF!</v>
      </c>
    </row>
    <row r="62" spans="1:42" s="77" customFormat="1">
      <c r="A62" s="78" t="s">
        <v>48</v>
      </c>
      <c r="B62" s="72">
        <v>269125</v>
      </c>
      <c r="C62" s="92">
        <v>296.03587518452855</v>
      </c>
      <c r="D62" s="92">
        <v>11.193000000000005</v>
      </c>
      <c r="E62" s="92">
        <v>18.294639999999998</v>
      </c>
      <c r="F62" s="92">
        <v>91</v>
      </c>
      <c r="G62" s="92">
        <v>0</v>
      </c>
      <c r="H62" s="92">
        <f t="shared" si="46"/>
        <v>416.52351518452855</v>
      </c>
      <c r="I62" s="72">
        <v>251177</v>
      </c>
      <c r="J62" s="72">
        <v>253779</v>
      </c>
      <c r="K62" s="72">
        <f t="shared" si="4"/>
        <v>2602</v>
      </c>
      <c r="L62" s="72">
        <v>0</v>
      </c>
      <c r="M62" s="72">
        <v>0</v>
      </c>
      <c r="N62" s="72">
        <v>2541</v>
      </c>
      <c r="O62" s="72">
        <v>248</v>
      </c>
      <c r="P62" s="72">
        <v>0</v>
      </c>
      <c r="Q62" s="72">
        <v>7184</v>
      </c>
      <c r="R62" s="72">
        <v>0</v>
      </c>
      <c r="S62" s="72">
        <v>0</v>
      </c>
      <c r="T62" s="72">
        <f t="shared" si="47"/>
        <v>517531</v>
      </c>
      <c r="U62" s="73" t="s">
        <v>328</v>
      </c>
      <c r="V62" s="117"/>
      <c r="W62" s="74"/>
      <c r="X62" s="75">
        <f t="shared" si="38"/>
        <v>1.0999939625992701E-3</v>
      </c>
      <c r="Y62" s="75">
        <f t="shared" si="39"/>
        <v>4.159033906177429E-5</v>
      </c>
      <c r="Z62" s="75">
        <f t="shared" si="40"/>
        <v>6.7978225731537377E-5</v>
      </c>
      <c r="AA62" s="75">
        <f t="shared" si="41"/>
        <v>3.3813283790060382E-4</v>
      </c>
      <c r="AB62" s="75">
        <f t="shared" si="42"/>
        <v>0</v>
      </c>
      <c r="AC62" s="75">
        <f t="shared" si="43"/>
        <v>1.5476953652931854E-3</v>
      </c>
      <c r="AD62" s="75">
        <f t="shared" si="44"/>
        <v>0.93330980027868093</v>
      </c>
      <c r="AE62" s="75">
        <f t="shared" si="45"/>
        <v>0</v>
      </c>
      <c r="AF62" s="75">
        <f t="shared" si="45"/>
        <v>0</v>
      </c>
      <c r="AG62" s="75">
        <f t="shared" si="45"/>
        <v>9.4417092429168598E-3</v>
      </c>
      <c r="AH62" s="75">
        <f t="shared" si="45"/>
        <v>9.2150487691593122E-4</v>
      </c>
      <c r="AI62" s="75">
        <f t="shared" si="45"/>
        <v>0</v>
      </c>
      <c r="AJ62" s="75">
        <f t="shared" si="45"/>
        <v>2.6693915466790525E-2</v>
      </c>
      <c r="AK62" s="75">
        <f t="shared" si="45"/>
        <v>0</v>
      </c>
      <c r="AL62" s="75">
        <f t="shared" si="45"/>
        <v>0</v>
      </c>
      <c r="AM62" s="75">
        <f t="shared" si="45"/>
        <v>1.923013469577334</v>
      </c>
      <c r="AN62" s="75"/>
      <c r="AO62" s="75"/>
      <c r="AP62" s="76" t="e">
        <f>+VLOOKUP($A62,#REF!,2,FALSE)</f>
        <v>#REF!</v>
      </c>
    </row>
    <row r="63" spans="1:42" s="77" customFormat="1">
      <c r="A63" s="78" t="s">
        <v>174</v>
      </c>
      <c r="B63" s="72">
        <v>97938</v>
      </c>
      <c r="C63" s="92">
        <v>76.088599432418789</v>
      </c>
      <c r="D63" s="92">
        <v>1.9560000000000006</v>
      </c>
      <c r="E63" s="92">
        <v>0.37</v>
      </c>
      <c r="F63" s="92">
        <v>0</v>
      </c>
      <c r="G63" s="92">
        <v>0</v>
      </c>
      <c r="H63" s="92">
        <f t="shared" si="46"/>
        <v>78.414599432418797</v>
      </c>
      <c r="I63" s="72">
        <v>53014</v>
      </c>
      <c r="J63" s="72">
        <v>53834</v>
      </c>
      <c r="K63" s="72">
        <f t="shared" si="4"/>
        <v>820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240</v>
      </c>
      <c r="R63" s="72">
        <v>0</v>
      </c>
      <c r="S63" s="72">
        <v>0</v>
      </c>
      <c r="T63" s="72">
        <f t="shared" si="47"/>
        <v>107908</v>
      </c>
      <c r="U63" s="73" t="s">
        <v>328</v>
      </c>
      <c r="V63" s="117"/>
      <c r="W63" s="74"/>
      <c r="X63" s="75">
        <f t="shared" si="38"/>
        <v>7.769057917500744E-4</v>
      </c>
      <c r="Y63" s="75">
        <f t="shared" si="39"/>
        <v>1.9971818905838393E-5</v>
      </c>
      <c r="Z63" s="75">
        <f t="shared" si="40"/>
        <v>3.7779003042741326E-6</v>
      </c>
      <c r="AA63" s="75">
        <f t="shared" si="41"/>
        <v>0</v>
      </c>
      <c r="AB63" s="75">
        <f t="shared" si="42"/>
        <v>0</v>
      </c>
      <c r="AC63" s="75">
        <f t="shared" si="43"/>
        <v>8.0065551096018697E-4</v>
      </c>
      <c r="AD63" s="75">
        <f t="shared" si="44"/>
        <v>0.54130163981294288</v>
      </c>
      <c r="AE63" s="75">
        <f t="shared" si="45"/>
        <v>0</v>
      </c>
      <c r="AF63" s="75">
        <f t="shared" si="45"/>
        <v>0</v>
      </c>
      <c r="AG63" s="75">
        <f t="shared" si="45"/>
        <v>0</v>
      </c>
      <c r="AH63" s="75">
        <f t="shared" si="45"/>
        <v>0</v>
      </c>
      <c r="AI63" s="75">
        <f t="shared" si="45"/>
        <v>0</v>
      </c>
      <c r="AJ63" s="75">
        <f t="shared" si="45"/>
        <v>2.4505299270967348E-3</v>
      </c>
      <c r="AK63" s="75">
        <f t="shared" si="45"/>
        <v>0</v>
      </c>
      <c r="AL63" s="75">
        <f t="shared" si="45"/>
        <v>0</v>
      </c>
      <c r="AM63" s="75">
        <f t="shared" si="45"/>
        <v>1.1017990973881435</v>
      </c>
      <c r="AN63" s="75"/>
      <c r="AO63" s="75"/>
      <c r="AP63" s="76" t="e">
        <f>+VLOOKUP($A63,#REF!,2,FALSE)</f>
        <v>#REF!</v>
      </c>
    </row>
    <row r="64" spans="1:42" s="77" customFormat="1">
      <c r="A64" s="78" t="s">
        <v>41</v>
      </c>
      <c r="B64" s="72">
        <v>316500</v>
      </c>
      <c r="C64" s="92">
        <v>419.98060069228495</v>
      </c>
      <c r="D64" s="92">
        <v>5.8785999999999996</v>
      </c>
      <c r="E64" s="92">
        <v>1.547000000000001</v>
      </c>
      <c r="F64" s="92">
        <v>15.249999999999993</v>
      </c>
      <c r="G64" s="92">
        <v>0</v>
      </c>
      <c r="H64" s="92">
        <f t="shared" si="46"/>
        <v>442.65620069228498</v>
      </c>
      <c r="I64" s="72">
        <v>300957</v>
      </c>
      <c r="J64" s="72">
        <v>300000</v>
      </c>
      <c r="K64" s="72">
        <f t="shared" si="4"/>
        <v>-957</v>
      </c>
      <c r="L64" s="72">
        <v>62</v>
      </c>
      <c r="M64" s="72">
        <v>0</v>
      </c>
      <c r="N64" s="72">
        <v>0</v>
      </c>
      <c r="O64" s="72">
        <v>0</v>
      </c>
      <c r="P64" s="72">
        <v>0</v>
      </c>
      <c r="Q64" s="72">
        <v>1577</v>
      </c>
      <c r="R64" s="72">
        <v>2922</v>
      </c>
      <c r="S64" s="72">
        <v>0</v>
      </c>
      <c r="T64" s="72">
        <f t="shared" si="47"/>
        <v>604561</v>
      </c>
      <c r="U64" s="73" t="s">
        <v>328</v>
      </c>
      <c r="V64" s="117"/>
      <c r="W64" s="74"/>
      <c r="X64" s="75">
        <f t="shared" si="38"/>
        <v>1.3269529247781516E-3</v>
      </c>
      <c r="Y64" s="75">
        <f t="shared" si="39"/>
        <v>1.8573775671406002E-5</v>
      </c>
      <c r="Z64" s="75">
        <f t="shared" si="40"/>
        <v>4.8878357030015827E-6</v>
      </c>
      <c r="AA64" s="75">
        <f t="shared" si="41"/>
        <v>4.8183254344391762E-5</v>
      </c>
      <c r="AB64" s="75">
        <f t="shared" si="42"/>
        <v>0</v>
      </c>
      <c r="AC64" s="75">
        <f t="shared" si="43"/>
        <v>1.398597790496951E-3</v>
      </c>
      <c r="AD64" s="75">
        <f t="shared" si="44"/>
        <v>0.95089099526066345</v>
      </c>
      <c r="AE64" s="75">
        <f t="shared" si="45"/>
        <v>1.9589257503949448E-4</v>
      </c>
      <c r="AF64" s="75">
        <f t="shared" si="45"/>
        <v>0</v>
      </c>
      <c r="AG64" s="75">
        <f t="shared" si="45"/>
        <v>0</v>
      </c>
      <c r="AH64" s="75">
        <f t="shared" si="45"/>
        <v>0</v>
      </c>
      <c r="AI64" s="75">
        <f t="shared" si="45"/>
        <v>0</v>
      </c>
      <c r="AJ64" s="75">
        <f t="shared" si="45"/>
        <v>4.9826224328593993E-3</v>
      </c>
      <c r="AK64" s="75">
        <f t="shared" si="45"/>
        <v>9.2322274881516588E-3</v>
      </c>
      <c r="AL64" s="75">
        <f t="shared" si="45"/>
        <v>0</v>
      </c>
      <c r="AM64" s="75">
        <f t="shared" si="45"/>
        <v>1.9101453396524486</v>
      </c>
      <c r="AN64" s="75"/>
      <c r="AO64" s="75"/>
      <c r="AP64" s="76" t="e">
        <f>+VLOOKUP($A64,#REF!,2,FALSE)</f>
        <v>#REF!</v>
      </c>
    </row>
    <row r="65" spans="1:42" s="77" customFormat="1">
      <c r="A65" s="79" t="s">
        <v>47</v>
      </c>
      <c r="B65" s="72">
        <v>74125</v>
      </c>
      <c r="C65" s="92">
        <v>113</v>
      </c>
      <c r="D65" s="92">
        <v>20</v>
      </c>
      <c r="E65" s="92">
        <v>7</v>
      </c>
      <c r="F65" s="92">
        <v>20.5</v>
      </c>
      <c r="G65" s="92">
        <v>9.5</v>
      </c>
      <c r="H65" s="92">
        <f t="shared" si="46"/>
        <v>170</v>
      </c>
      <c r="I65" s="72">
        <v>43030</v>
      </c>
      <c r="J65" s="72">
        <v>54600</v>
      </c>
      <c r="K65" s="72">
        <f t="shared" si="4"/>
        <v>11570</v>
      </c>
      <c r="L65" s="72">
        <v>8642</v>
      </c>
      <c r="M65" s="72">
        <v>102</v>
      </c>
      <c r="N65" s="72">
        <v>6428</v>
      </c>
      <c r="O65" s="72">
        <v>17</v>
      </c>
      <c r="P65" s="72">
        <v>16</v>
      </c>
      <c r="Q65" s="72">
        <v>515</v>
      </c>
      <c r="R65" s="72">
        <v>0</v>
      </c>
      <c r="S65" s="72">
        <v>0</v>
      </c>
      <c r="T65" s="72">
        <f t="shared" si="47"/>
        <v>124920</v>
      </c>
      <c r="U65" s="73" t="s">
        <v>328</v>
      </c>
      <c r="V65" s="117"/>
      <c r="W65" s="74"/>
      <c r="X65" s="75">
        <f t="shared" si="38"/>
        <v>1.5244519392917369E-3</v>
      </c>
      <c r="Y65" s="75">
        <f t="shared" si="39"/>
        <v>2.6981450252951095E-4</v>
      </c>
      <c r="Z65" s="75">
        <f t="shared" si="40"/>
        <v>9.4435075885328836E-5</v>
      </c>
      <c r="AA65" s="75">
        <f t="shared" si="41"/>
        <v>2.7655986509274874E-4</v>
      </c>
      <c r="AB65" s="75">
        <f t="shared" si="42"/>
        <v>1.2816188870151771E-4</v>
      </c>
      <c r="AC65" s="75">
        <f t="shared" si="43"/>
        <v>2.2934232715008432E-3</v>
      </c>
      <c r="AD65" s="75">
        <f t="shared" si="44"/>
        <v>0.58050590219224285</v>
      </c>
      <c r="AE65" s="75">
        <f t="shared" si="45"/>
        <v>0.11658684654300169</v>
      </c>
      <c r="AF65" s="75">
        <f t="shared" si="45"/>
        <v>1.376053962900506E-3</v>
      </c>
      <c r="AG65" s="75">
        <f t="shared" si="45"/>
        <v>8.6718381112984827E-2</v>
      </c>
      <c r="AH65" s="75">
        <f t="shared" si="45"/>
        <v>2.2934232715008431E-4</v>
      </c>
      <c r="AI65" s="75">
        <f t="shared" si="45"/>
        <v>2.1585160202360876E-4</v>
      </c>
      <c r="AJ65" s="75">
        <f t="shared" si="45"/>
        <v>6.9477234401349071E-3</v>
      </c>
      <c r="AK65" s="75">
        <f t="shared" si="45"/>
        <v>0</v>
      </c>
      <c r="AL65" s="75">
        <f t="shared" si="45"/>
        <v>0</v>
      </c>
      <c r="AM65" s="75">
        <f t="shared" si="45"/>
        <v>1.6852613827993255</v>
      </c>
      <c r="AN65" s="75"/>
      <c r="AO65" s="75"/>
      <c r="AP65" s="76" t="e">
        <f>+VLOOKUP($A65,#REF!,2,FALSE)</f>
        <v>#REF!</v>
      </c>
    </row>
    <row r="66" spans="1:42" s="77" customFormat="1">
      <c r="A66" s="79" t="s">
        <v>67</v>
      </c>
      <c r="B66" s="72">
        <v>123188</v>
      </c>
      <c r="C66" s="92">
        <v>161.18</v>
      </c>
      <c r="D66" s="92">
        <v>16.100000000000001</v>
      </c>
      <c r="E66" s="92">
        <v>0.43</v>
      </c>
      <c r="F66" s="92">
        <v>3.36</v>
      </c>
      <c r="G66" s="92">
        <v>0</v>
      </c>
      <c r="H66" s="92">
        <f t="shared" si="46"/>
        <v>181.07000000000002</v>
      </c>
      <c r="I66" s="72">
        <v>60030</v>
      </c>
      <c r="J66" s="72">
        <v>106093</v>
      </c>
      <c r="K66" s="72">
        <f t="shared" si="4"/>
        <v>46063</v>
      </c>
      <c r="L66" s="72">
        <v>6900</v>
      </c>
      <c r="M66" s="72">
        <v>0</v>
      </c>
      <c r="N66" s="72">
        <v>27270</v>
      </c>
      <c r="O66" s="72">
        <v>40</v>
      </c>
      <c r="P66" s="72">
        <v>50</v>
      </c>
      <c r="Q66" s="72">
        <v>34</v>
      </c>
      <c r="R66" s="72">
        <v>0</v>
      </c>
      <c r="S66" s="72">
        <v>1000</v>
      </c>
      <c r="T66" s="72">
        <f t="shared" si="47"/>
        <v>247480</v>
      </c>
      <c r="U66" s="73" t="s">
        <v>328</v>
      </c>
      <c r="V66" s="117"/>
      <c r="W66" s="74"/>
      <c r="X66" s="75">
        <f t="shared" si="38"/>
        <v>1.3084066629866545E-3</v>
      </c>
      <c r="Y66" s="75">
        <f t="shared" si="39"/>
        <v>1.3069454817027633E-4</v>
      </c>
      <c r="Z66" s="75">
        <f t="shared" si="40"/>
        <v>3.4905997337402995E-6</v>
      </c>
      <c r="AA66" s="75">
        <f t="shared" si="41"/>
        <v>2.7275383965970712E-5</v>
      </c>
      <c r="AB66" s="75">
        <f t="shared" si="42"/>
        <v>0</v>
      </c>
      <c r="AC66" s="75">
        <f t="shared" si="43"/>
        <v>1.469867194856642E-3</v>
      </c>
      <c r="AD66" s="75">
        <f t="shared" si="44"/>
        <v>0.48730395817774458</v>
      </c>
      <c r="AE66" s="75">
        <f t="shared" si="45"/>
        <v>5.6011949215832711E-2</v>
      </c>
      <c r="AF66" s="75">
        <f t="shared" si="45"/>
        <v>0</v>
      </c>
      <c r="AG66" s="75">
        <f t="shared" si="45"/>
        <v>0.22136896450953014</v>
      </c>
      <c r="AH66" s="75">
        <f t="shared" si="45"/>
        <v>3.2470695197584182E-4</v>
      </c>
      <c r="AI66" s="75">
        <f t="shared" si="45"/>
        <v>4.0588368996980227E-4</v>
      </c>
      <c r="AJ66" s="75">
        <f t="shared" si="45"/>
        <v>2.7600090917946553E-4</v>
      </c>
      <c r="AK66" s="75">
        <f t="shared" si="45"/>
        <v>0</v>
      </c>
      <c r="AL66" s="75">
        <f t="shared" si="45"/>
        <v>8.1176737993960447E-3</v>
      </c>
      <c r="AM66" s="75">
        <f t="shared" si="45"/>
        <v>2.0089619118745334</v>
      </c>
      <c r="AN66" s="75"/>
      <c r="AO66" s="75"/>
      <c r="AP66" s="76" t="e">
        <f>+VLOOKUP($A66,#REF!,2,FALSE)</f>
        <v>#REF!</v>
      </c>
    </row>
    <row r="67" spans="1:42" s="77" customFormat="1">
      <c r="A67" s="79" t="s">
        <v>186</v>
      </c>
      <c r="B67" s="72">
        <v>107250</v>
      </c>
      <c r="C67" s="92">
        <v>166.29999999999998</v>
      </c>
      <c r="D67" s="92">
        <v>9.9000000000000005E-2</v>
      </c>
      <c r="E67" s="92">
        <v>0</v>
      </c>
      <c r="F67" s="92">
        <v>2.5</v>
      </c>
      <c r="G67" s="92">
        <v>0</v>
      </c>
      <c r="H67" s="92">
        <f t="shared" si="46"/>
        <v>168.89899999999997</v>
      </c>
      <c r="I67" s="72">
        <v>100514</v>
      </c>
      <c r="J67" s="72">
        <v>100514</v>
      </c>
      <c r="K67" s="72">
        <f t="shared" si="4"/>
        <v>0</v>
      </c>
      <c r="L67" s="72">
        <v>0</v>
      </c>
      <c r="M67" s="72">
        <v>77</v>
      </c>
      <c r="N67" s="72">
        <v>60</v>
      </c>
      <c r="O67" s="72">
        <v>0</v>
      </c>
      <c r="P67" s="72">
        <v>0</v>
      </c>
      <c r="Q67" s="72">
        <v>173</v>
      </c>
      <c r="R67" s="72">
        <v>3</v>
      </c>
      <c r="S67" s="72">
        <v>0</v>
      </c>
      <c r="T67" s="72">
        <f t="shared" si="47"/>
        <v>201341</v>
      </c>
      <c r="U67" s="73" t="s">
        <v>328</v>
      </c>
      <c r="V67" s="117"/>
      <c r="W67" s="74"/>
      <c r="X67" s="75">
        <f t="shared" si="38"/>
        <v>1.5505827505827505E-3</v>
      </c>
      <c r="Y67" s="75">
        <f t="shared" si="39"/>
        <v>9.2307692307692312E-7</v>
      </c>
      <c r="Z67" s="75">
        <f t="shared" si="40"/>
        <v>0</v>
      </c>
      <c r="AA67" s="75">
        <f t="shared" si="41"/>
        <v>2.331002331002331E-5</v>
      </c>
      <c r="AB67" s="75">
        <f t="shared" si="42"/>
        <v>0</v>
      </c>
      <c r="AC67" s="75">
        <f t="shared" si="43"/>
        <v>1.5748158508158505E-3</v>
      </c>
      <c r="AD67" s="75">
        <f t="shared" si="44"/>
        <v>0.93719347319347324</v>
      </c>
      <c r="AE67" s="75">
        <f t="shared" si="45"/>
        <v>0</v>
      </c>
      <c r="AF67" s="75">
        <f t="shared" si="45"/>
        <v>7.1794871794871799E-4</v>
      </c>
      <c r="AG67" s="75">
        <f t="shared" si="45"/>
        <v>5.5944055944055944E-4</v>
      </c>
      <c r="AH67" s="75">
        <f t="shared" si="45"/>
        <v>0</v>
      </c>
      <c r="AI67" s="75">
        <f t="shared" si="45"/>
        <v>0</v>
      </c>
      <c r="AJ67" s="75">
        <f t="shared" si="45"/>
        <v>1.613053613053613E-3</v>
      </c>
      <c r="AK67" s="75">
        <f t="shared" si="45"/>
        <v>2.7972027972027973E-5</v>
      </c>
      <c r="AL67" s="75">
        <f t="shared" si="45"/>
        <v>0</v>
      </c>
      <c r="AM67" s="75">
        <f t="shared" si="45"/>
        <v>1.8773053613053614</v>
      </c>
      <c r="AN67" s="75"/>
      <c r="AO67" s="75"/>
      <c r="AP67" s="76" t="e">
        <f>+VLOOKUP($A67,#REF!,2,FALSE)</f>
        <v>#REF!</v>
      </c>
    </row>
    <row r="68" spans="1:42" s="77" customFormat="1">
      <c r="A68" s="80" t="s">
        <v>9</v>
      </c>
      <c r="B68" s="90">
        <f>SUM(B57:B67)</f>
        <v>1236694</v>
      </c>
      <c r="C68" s="93">
        <f>SUM(C57:C67)</f>
        <v>1454.5467459948263</v>
      </c>
      <c r="D68" s="93">
        <f>SUM(D57:D67)</f>
        <v>64.973600000000019</v>
      </c>
      <c r="E68" s="93">
        <f>SUM(E57:E67)</f>
        <v>30.440891999999998</v>
      </c>
      <c r="F68" s="93">
        <f>SUM(F57:F67)</f>
        <v>132.61000000000001</v>
      </c>
      <c r="G68" s="93">
        <f t="shared" ref="G68:T68" si="48">SUM(G57:G67)</f>
        <v>11.574</v>
      </c>
      <c r="H68" s="93">
        <f t="shared" si="48"/>
        <v>1694.1452379948262</v>
      </c>
      <c r="I68" s="90">
        <f t="shared" si="48"/>
        <v>1037459</v>
      </c>
      <c r="J68" s="90">
        <f t="shared" si="48"/>
        <v>1090453</v>
      </c>
      <c r="K68" s="90">
        <f t="shared" si="48"/>
        <v>52994</v>
      </c>
      <c r="L68" s="90">
        <f t="shared" si="48"/>
        <v>15704</v>
      </c>
      <c r="M68" s="90">
        <f t="shared" si="48"/>
        <v>299</v>
      </c>
      <c r="N68" s="90">
        <f t="shared" si="48"/>
        <v>38655</v>
      </c>
      <c r="O68" s="90">
        <f t="shared" si="48"/>
        <v>820</v>
      </c>
      <c r="P68" s="90">
        <f t="shared" si="48"/>
        <v>646</v>
      </c>
      <c r="Q68" s="90">
        <f t="shared" si="48"/>
        <v>11113</v>
      </c>
      <c r="R68" s="90">
        <f t="shared" si="48"/>
        <v>2925</v>
      </c>
      <c r="S68" s="90">
        <f t="shared" si="48"/>
        <v>1000</v>
      </c>
      <c r="T68" s="90">
        <f t="shared" si="48"/>
        <v>2252068</v>
      </c>
      <c r="U68" s="80"/>
      <c r="V68" s="117"/>
      <c r="W68" s="74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6"/>
    </row>
    <row r="69" spans="1:42" s="77" customFormat="1">
      <c r="A69" s="81" t="s">
        <v>340</v>
      </c>
      <c r="B69" s="72"/>
      <c r="C69" s="92"/>
      <c r="D69" s="92"/>
      <c r="E69" s="92"/>
      <c r="F69" s="92"/>
      <c r="G69" s="92"/>
      <c r="H69" s="9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3"/>
      <c r="V69" s="117"/>
      <c r="W69" s="74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6"/>
    </row>
    <row r="70" spans="1:42" s="77" customFormat="1">
      <c r="A70" s="79" t="s">
        <v>272</v>
      </c>
      <c r="B70" s="72">
        <v>57348</v>
      </c>
      <c r="C70" s="92">
        <v>75.695999999999998</v>
      </c>
      <c r="D70" s="92">
        <v>0.69650000000000001</v>
      </c>
      <c r="E70" s="92">
        <v>0</v>
      </c>
      <c r="F70" s="92">
        <v>23.613500000000002</v>
      </c>
      <c r="G70" s="92">
        <v>132.28</v>
      </c>
      <c r="H70" s="92">
        <f>SUM(C70:G70)</f>
        <v>232.286</v>
      </c>
      <c r="I70" s="72">
        <f>75936-23029</f>
        <v>52907</v>
      </c>
      <c r="J70" s="72">
        <v>53441</v>
      </c>
      <c r="K70" s="72">
        <f t="shared" si="4"/>
        <v>534</v>
      </c>
      <c r="L70" s="72">
        <v>3237</v>
      </c>
      <c r="M70" s="72">
        <v>0</v>
      </c>
      <c r="N70" s="72">
        <v>0</v>
      </c>
      <c r="O70" s="72">
        <v>50</v>
      </c>
      <c r="P70" s="72">
        <v>836</v>
      </c>
      <c r="Q70" s="72">
        <v>218</v>
      </c>
      <c r="R70" s="72">
        <v>0</v>
      </c>
      <c r="S70" s="72">
        <v>100</v>
      </c>
      <c r="T70" s="72">
        <f>SUM(I70:S70)</f>
        <v>111323</v>
      </c>
      <c r="U70" s="73" t="s">
        <v>330</v>
      </c>
      <c r="V70" s="117"/>
      <c r="W70" s="74"/>
      <c r="X70" s="75">
        <f t="shared" ref="X70:AD77" si="49">+C70/$B70</f>
        <v>1.3199414103368906E-3</v>
      </c>
      <c r="Y70" s="75">
        <f t="shared" si="49"/>
        <v>1.2145148915393737E-5</v>
      </c>
      <c r="Z70" s="75">
        <f t="shared" si="49"/>
        <v>0</v>
      </c>
      <c r="AA70" s="75">
        <f t="shared" si="49"/>
        <v>4.1175803864127786E-4</v>
      </c>
      <c r="AB70" s="75">
        <f t="shared" si="49"/>
        <v>2.3066192369393876E-3</v>
      </c>
      <c r="AC70" s="75">
        <f t="shared" si="49"/>
        <v>4.05046383483295E-3</v>
      </c>
      <c r="AD70" s="75">
        <f t="shared" si="49"/>
        <v>0.92256050777708032</v>
      </c>
      <c r="AE70" s="75">
        <f t="shared" ref="AE70:AM77" si="50">+L70/$B70</f>
        <v>5.6444862942038085E-2</v>
      </c>
      <c r="AF70" s="75">
        <f t="shared" si="50"/>
        <v>0</v>
      </c>
      <c r="AG70" s="75">
        <f t="shared" si="50"/>
        <v>0</v>
      </c>
      <c r="AH70" s="75">
        <f t="shared" si="50"/>
        <v>8.7186998674757617E-4</v>
      </c>
      <c r="AI70" s="75">
        <f t="shared" si="50"/>
        <v>1.4577666178419475E-2</v>
      </c>
      <c r="AJ70" s="75">
        <f t="shared" si="50"/>
        <v>3.8013531422194323E-3</v>
      </c>
      <c r="AK70" s="75">
        <f t="shared" si="50"/>
        <v>0</v>
      </c>
      <c r="AL70" s="75">
        <f t="shared" si="50"/>
        <v>1.7437399734951523E-3</v>
      </c>
      <c r="AM70" s="75">
        <f t="shared" si="50"/>
        <v>1.9411836506940086</v>
      </c>
      <c r="AN70" s="75"/>
      <c r="AO70" s="75"/>
      <c r="AP70" s="76" t="e">
        <f>+VLOOKUP($A70,#REF!,2,FALSE)</f>
        <v>#REF!</v>
      </c>
    </row>
    <row r="71" spans="1:42" s="77" customFormat="1">
      <c r="A71" s="79" t="s">
        <v>180</v>
      </c>
      <c r="B71" s="72">
        <v>33354</v>
      </c>
      <c r="C71" s="92">
        <v>35.44</v>
      </c>
      <c r="D71" s="92">
        <v>0.42</v>
      </c>
      <c r="E71" s="92">
        <v>0</v>
      </c>
      <c r="F71" s="92">
        <v>2.41</v>
      </c>
      <c r="G71" s="92">
        <v>0</v>
      </c>
      <c r="H71" s="92">
        <f t="shared" ref="H71:H77" si="51">SUM(C71:G71)</f>
        <v>38.269999999999996</v>
      </c>
      <c r="I71" s="72">
        <v>26936</v>
      </c>
      <c r="J71" s="72">
        <v>27092</v>
      </c>
      <c r="K71" s="72">
        <f t="shared" si="4"/>
        <v>156</v>
      </c>
      <c r="L71" s="72">
        <v>0</v>
      </c>
      <c r="M71" s="72">
        <v>0</v>
      </c>
      <c r="N71" s="72">
        <v>60</v>
      </c>
      <c r="O71" s="72">
        <v>0</v>
      </c>
      <c r="P71" s="72">
        <v>0</v>
      </c>
      <c r="Q71" s="72">
        <v>124</v>
      </c>
      <c r="R71" s="72">
        <v>0</v>
      </c>
      <c r="S71" s="72">
        <v>20</v>
      </c>
      <c r="T71" s="72">
        <f t="shared" ref="T71:T77" si="52">SUM(I71:S71)</f>
        <v>54388</v>
      </c>
      <c r="U71" s="73" t="s">
        <v>330</v>
      </c>
      <c r="V71" s="117"/>
      <c r="W71" s="74"/>
      <c r="X71" s="75">
        <f t="shared" si="49"/>
        <v>1.0625412244408465E-3</v>
      </c>
      <c r="Y71" s="75">
        <f t="shared" si="49"/>
        <v>1.2592192840438927E-5</v>
      </c>
      <c r="Z71" s="75">
        <f t="shared" si="49"/>
        <v>0</v>
      </c>
      <c r="AA71" s="75">
        <f t="shared" si="49"/>
        <v>7.2255201774899569E-5</v>
      </c>
      <c r="AB71" s="75">
        <f t="shared" si="49"/>
        <v>0</v>
      </c>
      <c r="AC71" s="75">
        <f t="shared" si="49"/>
        <v>1.1473886190561851E-3</v>
      </c>
      <c r="AD71" s="75">
        <f t="shared" si="49"/>
        <v>0.80757930083348328</v>
      </c>
      <c r="AE71" s="75">
        <f t="shared" si="50"/>
        <v>0</v>
      </c>
      <c r="AF71" s="75">
        <f t="shared" si="50"/>
        <v>0</v>
      </c>
      <c r="AG71" s="75">
        <f t="shared" si="50"/>
        <v>1.7988846914912754E-3</v>
      </c>
      <c r="AH71" s="75">
        <f t="shared" si="50"/>
        <v>0</v>
      </c>
      <c r="AI71" s="75">
        <f t="shared" si="50"/>
        <v>0</v>
      </c>
      <c r="AJ71" s="75">
        <f t="shared" si="50"/>
        <v>3.7176950290819691E-3</v>
      </c>
      <c r="AK71" s="75">
        <f t="shared" si="50"/>
        <v>0</v>
      </c>
      <c r="AL71" s="75">
        <f t="shared" si="50"/>
        <v>5.9962823049709184E-4</v>
      </c>
      <c r="AM71" s="75">
        <f t="shared" si="50"/>
        <v>1.6306290100137915</v>
      </c>
      <c r="AN71" s="75"/>
      <c r="AO71" s="75"/>
      <c r="AP71" s="76" t="e">
        <f>+VLOOKUP($A71,#REF!,2,FALSE)</f>
        <v>#REF!</v>
      </c>
    </row>
    <row r="72" spans="1:42" s="77" customFormat="1">
      <c r="A72" s="79" t="s">
        <v>176</v>
      </c>
      <c r="B72" s="72">
        <v>39017</v>
      </c>
      <c r="C72" s="92">
        <v>37.303999999999995</v>
      </c>
      <c r="D72" s="92">
        <v>0.48</v>
      </c>
      <c r="E72" s="92">
        <v>0</v>
      </c>
      <c r="F72" s="92">
        <v>0</v>
      </c>
      <c r="G72" s="92">
        <v>0</v>
      </c>
      <c r="H72" s="92">
        <f t="shared" si="51"/>
        <v>37.783999999999992</v>
      </c>
      <c r="I72" s="72">
        <f>33192-476</f>
        <v>32716</v>
      </c>
      <c r="J72" s="72">
        <v>32716</v>
      </c>
      <c r="K72" s="72">
        <f t="shared" ref="K72:K135" si="53">J72-I72</f>
        <v>0</v>
      </c>
      <c r="L72" s="72">
        <v>102</v>
      </c>
      <c r="M72" s="72">
        <v>101</v>
      </c>
      <c r="N72" s="72">
        <v>514</v>
      </c>
      <c r="O72" s="72">
        <v>831</v>
      </c>
      <c r="P72" s="72">
        <v>3015</v>
      </c>
      <c r="Q72" s="72">
        <v>502</v>
      </c>
      <c r="R72" s="72">
        <v>0</v>
      </c>
      <c r="S72" s="72">
        <v>1236</v>
      </c>
      <c r="T72" s="72">
        <f t="shared" si="52"/>
        <v>71733</v>
      </c>
      <c r="U72" s="73" t="s">
        <v>330</v>
      </c>
      <c r="V72" s="117"/>
      <c r="W72" s="74"/>
      <c r="X72" s="75">
        <f t="shared" si="49"/>
        <v>9.5609606069149331E-4</v>
      </c>
      <c r="Y72" s="75">
        <f t="shared" si="49"/>
        <v>1.2302329753697106E-5</v>
      </c>
      <c r="Z72" s="75">
        <f t="shared" si="49"/>
        <v>0</v>
      </c>
      <c r="AA72" s="75">
        <f t="shared" si="49"/>
        <v>0</v>
      </c>
      <c r="AB72" s="75">
        <f t="shared" si="49"/>
        <v>0</v>
      </c>
      <c r="AC72" s="75">
        <f t="shared" si="49"/>
        <v>9.6839839044519037E-4</v>
      </c>
      <c r="AD72" s="75">
        <f t="shared" si="49"/>
        <v>0.83850629212907191</v>
      </c>
      <c r="AE72" s="75">
        <f t="shared" si="50"/>
        <v>2.6142450726606352E-3</v>
      </c>
      <c r="AF72" s="75">
        <f t="shared" si="50"/>
        <v>2.5886152190070996E-3</v>
      </c>
      <c r="AG72" s="75">
        <f t="shared" si="50"/>
        <v>1.3173744777917318E-2</v>
      </c>
      <c r="AH72" s="75">
        <f t="shared" si="50"/>
        <v>2.1298408386088114E-2</v>
      </c>
      <c r="AI72" s="75">
        <f t="shared" si="50"/>
        <v>7.7274008765409949E-2</v>
      </c>
      <c r="AJ72" s="75">
        <f t="shared" si="50"/>
        <v>1.286618653407489E-2</v>
      </c>
      <c r="AK72" s="75">
        <f t="shared" si="50"/>
        <v>0</v>
      </c>
      <c r="AL72" s="75">
        <f t="shared" si="50"/>
        <v>3.1678499115770052E-2</v>
      </c>
      <c r="AM72" s="75">
        <f t="shared" si="50"/>
        <v>1.838506292129072</v>
      </c>
      <c r="AN72" s="75"/>
      <c r="AO72" s="75"/>
      <c r="AP72" s="76" t="e">
        <f>+VLOOKUP($A72,#REF!,2,FALSE)</f>
        <v>#REF!</v>
      </c>
    </row>
    <row r="73" spans="1:42" s="77" customFormat="1">
      <c r="A73" s="79" t="s">
        <v>94</v>
      </c>
      <c r="B73" s="72">
        <v>28573</v>
      </c>
      <c r="C73" s="92">
        <v>28.884</v>
      </c>
      <c r="D73" s="92">
        <v>9.5000000000000001E-2</v>
      </c>
      <c r="E73" s="92">
        <v>0</v>
      </c>
      <c r="F73" s="92">
        <v>0</v>
      </c>
      <c r="G73" s="92">
        <v>0</v>
      </c>
      <c r="H73" s="92">
        <f t="shared" si="51"/>
        <v>28.978999999999999</v>
      </c>
      <c r="I73" s="72">
        <f>35090-6517</f>
        <v>28573</v>
      </c>
      <c r="J73" s="72">
        <v>28573</v>
      </c>
      <c r="K73" s="72">
        <f t="shared" si="53"/>
        <v>0</v>
      </c>
      <c r="L73" s="8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f t="shared" si="52"/>
        <v>57146</v>
      </c>
      <c r="U73" s="73" t="s">
        <v>330</v>
      </c>
      <c r="V73" s="117"/>
      <c r="W73" s="74"/>
      <c r="X73" s="75">
        <f t="shared" si="49"/>
        <v>1.0108844013579253E-3</v>
      </c>
      <c r="Y73" s="75">
        <f t="shared" si="49"/>
        <v>3.3248171350575719E-6</v>
      </c>
      <c r="Z73" s="75">
        <f t="shared" si="49"/>
        <v>0</v>
      </c>
      <c r="AA73" s="75">
        <f t="shared" si="49"/>
        <v>0</v>
      </c>
      <c r="AB73" s="75">
        <f t="shared" si="49"/>
        <v>0</v>
      </c>
      <c r="AC73" s="75">
        <f t="shared" si="49"/>
        <v>1.0142092184929829E-3</v>
      </c>
      <c r="AD73" s="75">
        <f t="shared" si="49"/>
        <v>1</v>
      </c>
      <c r="AE73" s="75">
        <f t="shared" si="50"/>
        <v>0</v>
      </c>
      <c r="AF73" s="75">
        <f t="shared" si="50"/>
        <v>0</v>
      </c>
      <c r="AG73" s="75">
        <f t="shared" si="50"/>
        <v>0</v>
      </c>
      <c r="AH73" s="75">
        <f t="shared" si="50"/>
        <v>0</v>
      </c>
      <c r="AI73" s="75">
        <f t="shared" si="50"/>
        <v>0</v>
      </c>
      <c r="AJ73" s="75">
        <f t="shared" si="50"/>
        <v>0</v>
      </c>
      <c r="AK73" s="75">
        <f t="shared" si="50"/>
        <v>0</v>
      </c>
      <c r="AL73" s="75">
        <f t="shared" si="50"/>
        <v>0</v>
      </c>
      <c r="AM73" s="75">
        <f t="shared" si="50"/>
        <v>2</v>
      </c>
      <c r="AN73" s="75"/>
      <c r="AO73" s="75"/>
      <c r="AP73" s="76" t="e">
        <f>+VLOOKUP($A73,#REF!,2,FALSE)</f>
        <v>#REF!</v>
      </c>
    </row>
    <row r="74" spans="1:42" s="77" customFormat="1">
      <c r="A74" s="83" t="s">
        <v>261</v>
      </c>
      <c r="B74" s="72">
        <v>39479</v>
      </c>
      <c r="C74" s="92">
        <v>23.875499999999999</v>
      </c>
      <c r="D74" s="92">
        <v>1.9713999999999998</v>
      </c>
      <c r="E74" s="92">
        <v>0</v>
      </c>
      <c r="F74" s="92">
        <v>0.80799999999999994</v>
      </c>
      <c r="G74" s="92">
        <v>3.044</v>
      </c>
      <c r="H74" s="92">
        <f t="shared" si="51"/>
        <v>29.698899999999998</v>
      </c>
      <c r="I74" s="72">
        <v>34830</v>
      </c>
      <c r="J74" s="72">
        <v>38854</v>
      </c>
      <c r="K74" s="72">
        <f t="shared" si="53"/>
        <v>4024</v>
      </c>
      <c r="L74" s="72">
        <v>0</v>
      </c>
      <c r="M74" s="72">
        <v>0</v>
      </c>
      <c r="N74" s="72">
        <v>0</v>
      </c>
      <c r="O74" s="72">
        <v>9</v>
      </c>
      <c r="P74" s="72">
        <v>99</v>
      </c>
      <c r="Q74" s="72">
        <v>553</v>
      </c>
      <c r="R74" s="72">
        <v>0</v>
      </c>
      <c r="S74" s="72">
        <v>0</v>
      </c>
      <c r="T74" s="72">
        <f t="shared" si="52"/>
        <v>78369</v>
      </c>
      <c r="U74" s="73" t="s">
        <v>330</v>
      </c>
      <c r="V74" s="117"/>
      <c r="W74" s="74"/>
      <c r="X74" s="75">
        <f t="shared" si="49"/>
        <v>6.0476455837280571E-4</v>
      </c>
      <c r="Y74" s="75">
        <f t="shared" si="49"/>
        <v>4.9935408698295295E-5</v>
      </c>
      <c r="Z74" s="75">
        <f t="shared" si="49"/>
        <v>0</v>
      </c>
      <c r="AA74" s="75">
        <f t="shared" si="49"/>
        <v>2.0466577167608093E-5</v>
      </c>
      <c r="AB74" s="75">
        <f t="shared" si="49"/>
        <v>7.7104283289850304E-5</v>
      </c>
      <c r="AC74" s="75">
        <f t="shared" si="49"/>
        <v>7.5227082752855944E-4</v>
      </c>
      <c r="AD74" s="75">
        <f t="shared" si="49"/>
        <v>0.88224119151954206</v>
      </c>
      <c r="AE74" s="75">
        <f t="shared" si="50"/>
        <v>0</v>
      </c>
      <c r="AF74" s="75">
        <f t="shared" si="50"/>
        <v>0</v>
      </c>
      <c r="AG74" s="75">
        <f t="shared" si="50"/>
        <v>0</v>
      </c>
      <c r="AH74" s="75">
        <f t="shared" si="50"/>
        <v>2.2796930013424858E-4</v>
      </c>
      <c r="AI74" s="75">
        <f t="shared" si="50"/>
        <v>2.5076623014767345E-3</v>
      </c>
      <c r="AJ74" s="75">
        <f t="shared" si="50"/>
        <v>1.4007446997137719E-2</v>
      </c>
      <c r="AK74" s="75">
        <f t="shared" si="50"/>
        <v>0</v>
      </c>
      <c r="AL74" s="75">
        <f t="shared" si="50"/>
        <v>0</v>
      </c>
      <c r="AM74" s="75">
        <f t="shared" si="50"/>
        <v>1.9850806758023254</v>
      </c>
      <c r="AN74" s="75"/>
      <c r="AO74" s="75"/>
      <c r="AP74" s="76" t="e">
        <f>+VLOOKUP($A74,#REF!,2,FALSE)</f>
        <v>#REF!</v>
      </c>
    </row>
    <row r="75" spans="1:42" s="77" customFormat="1">
      <c r="A75" s="79" t="s">
        <v>273</v>
      </c>
      <c r="B75" s="72">
        <v>173750</v>
      </c>
      <c r="C75" s="92">
        <v>35</v>
      </c>
      <c r="D75" s="92">
        <v>0</v>
      </c>
      <c r="E75" s="92">
        <v>0</v>
      </c>
      <c r="F75" s="92">
        <v>0</v>
      </c>
      <c r="G75" s="92">
        <v>0</v>
      </c>
      <c r="H75" s="92">
        <f t="shared" si="51"/>
        <v>35</v>
      </c>
      <c r="I75" s="72">
        <f>175758-2795</f>
        <v>172963</v>
      </c>
      <c r="J75" s="72">
        <v>172406</v>
      </c>
      <c r="K75" s="72">
        <f t="shared" si="53"/>
        <v>-557</v>
      </c>
      <c r="L75" s="72">
        <v>0</v>
      </c>
      <c r="M75" s="72">
        <v>0</v>
      </c>
      <c r="N75" s="72">
        <v>0</v>
      </c>
      <c r="O75" s="72">
        <v>0</v>
      </c>
      <c r="P75" s="72">
        <v>287</v>
      </c>
      <c r="Q75" s="72">
        <v>500</v>
      </c>
      <c r="R75" s="72">
        <v>0</v>
      </c>
      <c r="S75" s="72">
        <v>0</v>
      </c>
      <c r="T75" s="72">
        <f t="shared" si="52"/>
        <v>345599</v>
      </c>
      <c r="U75" s="73" t="s">
        <v>330</v>
      </c>
      <c r="V75" s="117"/>
      <c r="W75" s="74"/>
      <c r="X75" s="75">
        <f t="shared" si="49"/>
        <v>2.0143884892086331E-4</v>
      </c>
      <c r="Y75" s="75">
        <f t="shared" si="49"/>
        <v>0</v>
      </c>
      <c r="Z75" s="75">
        <f t="shared" si="49"/>
        <v>0</v>
      </c>
      <c r="AA75" s="75">
        <f t="shared" si="49"/>
        <v>0</v>
      </c>
      <c r="AB75" s="75">
        <f t="shared" si="49"/>
        <v>0</v>
      </c>
      <c r="AC75" s="75">
        <f t="shared" si="49"/>
        <v>2.0143884892086331E-4</v>
      </c>
      <c r="AD75" s="75">
        <f t="shared" si="49"/>
        <v>0.9954705035971223</v>
      </c>
      <c r="AE75" s="75">
        <f t="shared" si="50"/>
        <v>0</v>
      </c>
      <c r="AF75" s="75">
        <f t="shared" si="50"/>
        <v>0</v>
      </c>
      <c r="AG75" s="75">
        <f t="shared" si="50"/>
        <v>0</v>
      </c>
      <c r="AH75" s="75">
        <f t="shared" si="50"/>
        <v>0</v>
      </c>
      <c r="AI75" s="75">
        <f t="shared" si="50"/>
        <v>1.6517985611510791E-3</v>
      </c>
      <c r="AJ75" s="75">
        <f t="shared" si="50"/>
        <v>2.8776978417266188E-3</v>
      </c>
      <c r="AK75" s="75">
        <f t="shared" si="50"/>
        <v>0</v>
      </c>
      <c r="AL75" s="75">
        <f t="shared" si="50"/>
        <v>0</v>
      </c>
      <c r="AM75" s="75">
        <f t="shared" si="50"/>
        <v>1.9890589928057554</v>
      </c>
      <c r="AN75" s="75"/>
      <c r="AO75" s="75"/>
      <c r="AP75" s="76" t="e">
        <f>+VLOOKUP($A75,#REF!,2,FALSE)</f>
        <v>#REF!</v>
      </c>
    </row>
    <row r="76" spans="1:42" s="77" customFormat="1">
      <c r="A76" s="78" t="s">
        <v>95</v>
      </c>
      <c r="B76" s="72">
        <v>42156</v>
      </c>
      <c r="C76" s="92">
        <v>90.28</v>
      </c>
      <c r="D76" s="92">
        <v>0.57999999999999996</v>
      </c>
      <c r="E76" s="92">
        <v>0</v>
      </c>
      <c r="F76" s="92">
        <v>0</v>
      </c>
      <c r="G76" s="92">
        <v>0</v>
      </c>
      <c r="H76" s="92">
        <f t="shared" si="51"/>
        <v>90.86</v>
      </c>
      <c r="I76" s="72">
        <f>60963-18807</f>
        <v>42156</v>
      </c>
      <c r="J76" s="72">
        <v>42156</v>
      </c>
      <c r="K76" s="72">
        <f t="shared" si="53"/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f t="shared" si="52"/>
        <v>84312</v>
      </c>
      <c r="U76" s="73" t="s">
        <v>330</v>
      </c>
      <c r="V76" s="117"/>
      <c r="W76" s="74"/>
      <c r="X76" s="75">
        <f t="shared" si="49"/>
        <v>2.141569408862321E-3</v>
      </c>
      <c r="Y76" s="75">
        <f t="shared" si="49"/>
        <v>1.37584211025714E-5</v>
      </c>
      <c r="Z76" s="75">
        <f t="shared" si="49"/>
        <v>0</v>
      </c>
      <c r="AA76" s="75">
        <f t="shared" si="49"/>
        <v>0</v>
      </c>
      <c r="AB76" s="75">
        <f t="shared" si="49"/>
        <v>0</v>
      </c>
      <c r="AC76" s="75">
        <f t="shared" si="49"/>
        <v>2.1553278299648922E-3</v>
      </c>
      <c r="AD76" s="75">
        <f t="shared" si="49"/>
        <v>1</v>
      </c>
      <c r="AE76" s="75">
        <f t="shared" si="50"/>
        <v>0</v>
      </c>
      <c r="AF76" s="75">
        <f t="shared" si="50"/>
        <v>0</v>
      </c>
      <c r="AG76" s="75">
        <f t="shared" si="50"/>
        <v>0</v>
      </c>
      <c r="AH76" s="75">
        <f t="shared" si="50"/>
        <v>0</v>
      </c>
      <c r="AI76" s="75">
        <f t="shared" si="50"/>
        <v>0</v>
      </c>
      <c r="AJ76" s="75">
        <f t="shared" si="50"/>
        <v>0</v>
      </c>
      <c r="AK76" s="75">
        <f t="shared" si="50"/>
        <v>0</v>
      </c>
      <c r="AL76" s="75">
        <f t="shared" si="50"/>
        <v>0</v>
      </c>
      <c r="AM76" s="75">
        <f t="shared" si="50"/>
        <v>2</v>
      </c>
      <c r="AN76" s="75"/>
      <c r="AO76" s="75"/>
      <c r="AP76" s="76" t="e">
        <f>+VLOOKUP($A76,#REF!,2,FALSE)</f>
        <v>#REF!</v>
      </c>
    </row>
    <row r="77" spans="1:42" s="77" customFormat="1" ht="18.75" customHeight="1">
      <c r="A77" s="78" t="s">
        <v>274</v>
      </c>
      <c r="B77" s="72">
        <v>154000</v>
      </c>
      <c r="C77" s="94">
        <v>35.147999999999996</v>
      </c>
      <c r="D77" s="94">
        <v>0</v>
      </c>
      <c r="E77" s="94">
        <v>0</v>
      </c>
      <c r="F77" s="94">
        <v>0</v>
      </c>
      <c r="G77" s="94">
        <v>0</v>
      </c>
      <c r="H77" s="92">
        <f t="shared" si="51"/>
        <v>35.147999999999996</v>
      </c>
      <c r="I77" s="72">
        <v>125700</v>
      </c>
      <c r="J77" s="72">
        <v>125700</v>
      </c>
      <c r="K77" s="72">
        <f t="shared" si="53"/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f t="shared" si="52"/>
        <v>251400</v>
      </c>
      <c r="U77" s="73" t="s">
        <v>330</v>
      </c>
      <c r="V77" s="117"/>
      <c r="W77" s="74"/>
      <c r="X77" s="75">
        <f t="shared" si="49"/>
        <v>2.2823376623376621E-4</v>
      </c>
      <c r="Y77" s="75">
        <f t="shared" si="49"/>
        <v>0</v>
      </c>
      <c r="Z77" s="75">
        <f t="shared" si="49"/>
        <v>0</v>
      </c>
      <c r="AA77" s="75">
        <f t="shared" si="49"/>
        <v>0</v>
      </c>
      <c r="AB77" s="75">
        <f t="shared" si="49"/>
        <v>0</v>
      </c>
      <c r="AC77" s="75">
        <f t="shared" si="49"/>
        <v>2.2823376623376621E-4</v>
      </c>
      <c r="AD77" s="75">
        <f t="shared" si="49"/>
        <v>0.8162337662337662</v>
      </c>
      <c r="AE77" s="75">
        <f t="shared" si="50"/>
        <v>0</v>
      </c>
      <c r="AF77" s="75">
        <f t="shared" si="50"/>
        <v>0</v>
      </c>
      <c r="AG77" s="75">
        <f t="shared" si="50"/>
        <v>0</v>
      </c>
      <c r="AH77" s="75">
        <f t="shared" si="50"/>
        <v>0</v>
      </c>
      <c r="AI77" s="75">
        <f t="shared" si="50"/>
        <v>0</v>
      </c>
      <c r="AJ77" s="75">
        <f t="shared" si="50"/>
        <v>0</v>
      </c>
      <c r="AK77" s="75">
        <f t="shared" si="50"/>
        <v>0</v>
      </c>
      <c r="AL77" s="75">
        <f t="shared" si="50"/>
        <v>0</v>
      </c>
      <c r="AM77" s="75">
        <f t="shared" si="50"/>
        <v>1.6324675324675324</v>
      </c>
      <c r="AN77" s="75"/>
      <c r="AO77" s="75"/>
      <c r="AP77" s="76" t="e">
        <f>+VLOOKUP($A77,#REF!,2,FALSE)</f>
        <v>#REF!</v>
      </c>
    </row>
    <row r="78" spans="1:42" s="77" customFormat="1">
      <c r="A78" s="80" t="s">
        <v>9</v>
      </c>
      <c r="B78" s="90">
        <f>SUM(B70:B77)</f>
        <v>567677</v>
      </c>
      <c r="C78" s="93">
        <f t="shared" ref="C78:T78" si="54">SUM(C70:C77)</f>
        <v>361.62750000000005</v>
      </c>
      <c r="D78" s="93">
        <f t="shared" si="54"/>
        <v>4.2428999999999997</v>
      </c>
      <c r="E78" s="93">
        <f t="shared" si="54"/>
        <v>0</v>
      </c>
      <c r="F78" s="93">
        <f t="shared" si="54"/>
        <v>26.831500000000002</v>
      </c>
      <c r="G78" s="93">
        <f t="shared" si="54"/>
        <v>135.32400000000001</v>
      </c>
      <c r="H78" s="93">
        <f t="shared" si="54"/>
        <v>528.02589999999998</v>
      </c>
      <c r="I78" s="90">
        <f t="shared" si="54"/>
        <v>516781</v>
      </c>
      <c r="J78" s="90">
        <f t="shared" si="54"/>
        <v>520938</v>
      </c>
      <c r="K78" s="90">
        <f t="shared" si="54"/>
        <v>4157</v>
      </c>
      <c r="L78" s="90">
        <f t="shared" si="54"/>
        <v>3339</v>
      </c>
      <c r="M78" s="90">
        <f t="shared" si="54"/>
        <v>101</v>
      </c>
      <c r="N78" s="90">
        <f t="shared" si="54"/>
        <v>574</v>
      </c>
      <c r="O78" s="90">
        <f t="shared" si="54"/>
        <v>890</v>
      </c>
      <c r="P78" s="90">
        <f t="shared" si="54"/>
        <v>4237</v>
      </c>
      <c r="Q78" s="90">
        <f t="shared" si="54"/>
        <v>1897</v>
      </c>
      <c r="R78" s="90">
        <f t="shared" si="54"/>
        <v>0</v>
      </c>
      <c r="S78" s="90">
        <f t="shared" si="54"/>
        <v>1356</v>
      </c>
      <c r="T78" s="90">
        <f t="shared" si="54"/>
        <v>1054270</v>
      </c>
      <c r="U78" s="80"/>
      <c r="V78" s="117"/>
      <c r="W78" s="74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6"/>
    </row>
    <row r="79" spans="1:42" s="77" customFormat="1">
      <c r="A79" s="81" t="s">
        <v>341</v>
      </c>
      <c r="B79" s="72"/>
      <c r="C79" s="94"/>
      <c r="D79" s="94"/>
      <c r="E79" s="94"/>
      <c r="F79" s="94"/>
      <c r="G79" s="94"/>
      <c r="H79" s="94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3"/>
      <c r="V79" s="117"/>
      <c r="W79" s="74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6"/>
    </row>
    <row r="80" spans="1:42" s="77" customFormat="1">
      <c r="A80" s="79" t="s">
        <v>97</v>
      </c>
      <c r="B80" s="72">
        <v>83115</v>
      </c>
      <c r="C80" s="92">
        <v>53.801108308563528</v>
      </c>
      <c r="D80" s="92">
        <v>11.645977412000004</v>
      </c>
      <c r="E80" s="92">
        <v>0.30800000000000022</v>
      </c>
      <c r="F80" s="92">
        <v>3.818537282953387</v>
      </c>
      <c r="G80" s="92">
        <v>0</v>
      </c>
      <c r="H80" s="92">
        <f>SUM(C80:G80)</f>
        <v>69.573623003516929</v>
      </c>
      <c r="I80" s="72">
        <v>61843</v>
      </c>
      <c r="J80" s="72">
        <v>40072</v>
      </c>
      <c r="K80" s="72">
        <f t="shared" si="53"/>
        <v>-21771</v>
      </c>
      <c r="L80" s="72">
        <v>2569</v>
      </c>
      <c r="M80" s="72">
        <v>0</v>
      </c>
      <c r="N80" s="72">
        <v>0</v>
      </c>
      <c r="O80" s="72">
        <v>120</v>
      </c>
      <c r="P80" s="72">
        <v>0</v>
      </c>
      <c r="Q80" s="72">
        <v>15</v>
      </c>
      <c r="R80" s="72">
        <v>0</v>
      </c>
      <c r="S80" s="72">
        <v>0</v>
      </c>
      <c r="T80" s="72">
        <f>SUM(I80:S80)</f>
        <v>82848</v>
      </c>
      <c r="U80" s="73" t="s">
        <v>330</v>
      </c>
      <c r="V80" s="117"/>
      <c r="W80" s="74"/>
      <c r="X80" s="75">
        <f t="shared" ref="X80:X91" si="55">+C80/$B80</f>
        <v>6.4730924993759882E-4</v>
      </c>
      <c r="Y80" s="75">
        <f t="shared" ref="Y80:Y91" si="56">+D80/$B80</f>
        <v>1.4011884030560071E-4</v>
      </c>
      <c r="Z80" s="75">
        <f t="shared" ref="Z80:Z91" si="57">+E80/$B80</f>
        <v>3.7057089574685703E-6</v>
      </c>
      <c r="AA80" s="75">
        <f t="shared" ref="AA80:AA91" si="58">+F80/$B80</f>
        <v>4.5942817577493677E-5</v>
      </c>
      <c r="AB80" s="75">
        <f t="shared" ref="AB80:AB91" si="59">+G80/$B80</f>
        <v>0</v>
      </c>
      <c r="AC80" s="75">
        <f t="shared" ref="AC80:AC91" si="60">+H80/$B80</f>
        <v>8.3707661677816193E-4</v>
      </c>
      <c r="AD80" s="75">
        <f t="shared" ref="AD80:AD91" si="61">+I80/$B80</f>
        <v>0.74406545148288517</v>
      </c>
      <c r="AE80" s="75">
        <f t="shared" ref="AE80:AM95" si="62">+L80/$B80</f>
        <v>3.0908981531612825E-2</v>
      </c>
      <c r="AF80" s="75">
        <f t="shared" si="62"/>
        <v>0</v>
      </c>
      <c r="AG80" s="75">
        <f t="shared" si="62"/>
        <v>0</v>
      </c>
      <c r="AH80" s="75">
        <f t="shared" si="62"/>
        <v>1.4437827107020393E-3</v>
      </c>
      <c r="AI80" s="75">
        <f t="shared" si="62"/>
        <v>0</v>
      </c>
      <c r="AJ80" s="75">
        <f t="shared" si="62"/>
        <v>1.8047283883775492E-4</v>
      </c>
      <c r="AK80" s="75">
        <f t="shared" si="62"/>
        <v>0</v>
      </c>
      <c r="AL80" s="75">
        <f t="shared" si="62"/>
        <v>0</v>
      </c>
      <c r="AM80" s="75">
        <f t="shared" si="62"/>
        <v>0.99678758346868801</v>
      </c>
      <c r="AN80" s="75"/>
      <c r="AO80" s="75"/>
      <c r="AP80" s="76" t="e">
        <f>+VLOOKUP($A80,#REF!,2,FALSE)</f>
        <v>#REF!</v>
      </c>
    </row>
    <row r="81" spans="1:42" s="77" customFormat="1">
      <c r="A81" s="78" t="s">
        <v>124</v>
      </c>
      <c r="B81" s="72">
        <v>75806</v>
      </c>
      <c r="C81" s="92">
        <v>56.375698282751301</v>
      </c>
      <c r="D81" s="92">
        <v>8.2235590000000123</v>
      </c>
      <c r="E81" s="92">
        <v>0</v>
      </c>
      <c r="F81" s="92">
        <v>0.18300000000000013</v>
      </c>
      <c r="G81" s="92">
        <v>0</v>
      </c>
      <c r="H81" s="92">
        <f t="shared" ref="H81:H91" si="63">SUM(C81:G81)</f>
        <v>64.782257282751317</v>
      </c>
      <c r="I81" s="72">
        <v>67145</v>
      </c>
      <c r="J81" s="72">
        <v>67406</v>
      </c>
      <c r="K81" s="72">
        <f t="shared" si="53"/>
        <v>261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f t="shared" ref="T81:T91" si="64">SUM(I81:S81)</f>
        <v>134812</v>
      </c>
      <c r="U81" s="73" t="s">
        <v>330</v>
      </c>
      <c r="V81" s="117"/>
      <c r="W81" s="74"/>
      <c r="X81" s="75">
        <f t="shared" si="55"/>
        <v>7.4368385461244892E-4</v>
      </c>
      <c r="Y81" s="75">
        <f t="shared" si="56"/>
        <v>1.0848163733741409E-4</v>
      </c>
      <c r="Z81" s="75">
        <f t="shared" si="57"/>
        <v>0</v>
      </c>
      <c r="AA81" s="75">
        <f t="shared" si="58"/>
        <v>2.414056934807273E-6</v>
      </c>
      <c r="AB81" s="75">
        <f t="shared" si="59"/>
        <v>0</v>
      </c>
      <c r="AC81" s="75">
        <f t="shared" si="60"/>
        <v>8.545795488846703E-4</v>
      </c>
      <c r="AD81" s="75">
        <f t="shared" si="61"/>
        <v>0.88574782998707224</v>
      </c>
      <c r="AE81" s="75">
        <f t="shared" si="62"/>
        <v>0</v>
      </c>
      <c r="AF81" s="75">
        <f t="shared" si="62"/>
        <v>0</v>
      </c>
      <c r="AG81" s="75">
        <f t="shared" si="62"/>
        <v>0</v>
      </c>
      <c r="AH81" s="75">
        <f t="shared" si="62"/>
        <v>0</v>
      </c>
      <c r="AI81" s="75">
        <f t="shared" si="62"/>
        <v>0</v>
      </c>
      <c r="AJ81" s="75">
        <f t="shared" si="62"/>
        <v>0</v>
      </c>
      <c r="AK81" s="75">
        <f t="shared" si="62"/>
        <v>0</v>
      </c>
      <c r="AL81" s="75">
        <f t="shared" si="62"/>
        <v>0</v>
      </c>
      <c r="AM81" s="75">
        <f t="shared" si="62"/>
        <v>1.7783816584439227</v>
      </c>
      <c r="AN81" s="75"/>
      <c r="AO81" s="75"/>
      <c r="AP81" s="76" t="e">
        <f>+VLOOKUP($A81,#REF!,2,FALSE)</f>
        <v>#REF!</v>
      </c>
    </row>
    <row r="82" spans="1:42" s="77" customFormat="1">
      <c r="A82" s="78" t="s">
        <v>251</v>
      </c>
      <c r="B82" s="72">
        <v>112003</v>
      </c>
      <c r="C82" s="92">
        <v>57.427054558751941</v>
      </c>
      <c r="D82" s="92">
        <v>9.5017000000000138</v>
      </c>
      <c r="E82" s="92">
        <v>0</v>
      </c>
      <c r="F82" s="92">
        <v>3.0000000000000001E-3</v>
      </c>
      <c r="G82" s="92">
        <v>9.0951600000000035E-2</v>
      </c>
      <c r="H82" s="92">
        <f t="shared" si="63"/>
        <v>67.022706158751959</v>
      </c>
      <c r="I82" s="72">
        <f>113704-10508</f>
        <v>103196</v>
      </c>
      <c r="J82" s="72">
        <v>97367</v>
      </c>
      <c r="K82" s="72">
        <f t="shared" si="53"/>
        <v>-5829</v>
      </c>
      <c r="L82" s="72">
        <v>3390</v>
      </c>
      <c r="M82" s="72">
        <v>0</v>
      </c>
      <c r="N82" s="72">
        <v>0</v>
      </c>
      <c r="O82" s="72">
        <v>4389</v>
      </c>
      <c r="P82" s="72">
        <v>0</v>
      </c>
      <c r="Q82" s="72">
        <v>1028</v>
      </c>
      <c r="R82" s="72">
        <v>0</v>
      </c>
      <c r="S82" s="72">
        <v>0</v>
      </c>
      <c r="T82" s="72">
        <f t="shared" si="64"/>
        <v>203541</v>
      </c>
      <c r="U82" s="73" t="s">
        <v>330</v>
      </c>
      <c r="V82" s="117"/>
      <c r="W82" s="74"/>
      <c r="X82" s="75">
        <f t="shared" si="55"/>
        <v>5.1272782477926435E-4</v>
      </c>
      <c r="Y82" s="75">
        <f t="shared" si="56"/>
        <v>8.4834334794603846E-5</v>
      </c>
      <c r="Z82" s="75">
        <f t="shared" si="57"/>
        <v>0</v>
      </c>
      <c r="AA82" s="75">
        <f t="shared" si="58"/>
        <v>2.6784996830442043E-8</v>
      </c>
      <c r="AB82" s="75">
        <f t="shared" si="59"/>
        <v>8.1204610590787773E-7</v>
      </c>
      <c r="AC82" s="75">
        <f t="shared" si="60"/>
        <v>5.9840099067660652E-4</v>
      </c>
      <c r="AD82" s="75">
        <f t="shared" si="61"/>
        <v>0.92136817763809897</v>
      </c>
      <c r="AE82" s="75">
        <f t="shared" si="62"/>
        <v>3.0267046418399508E-2</v>
      </c>
      <c r="AF82" s="75">
        <f t="shared" si="62"/>
        <v>0</v>
      </c>
      <c r="AG82" s="75">
        <f t="shared" si="62"/>
        <v>0</v>
      </c>
      <c r="AH82" s="75">
        <f t="shared" si="62"/>
        <v>3.9186450362936706E-2</v>
      </c>
      <c r="AI82" s="75">
        <f t="shared" si="62"/>
        <v>0</v>
      </c>
      <c r="AJ82" s="75">
        <f t="shared" si="62"/>
        <v>9.1783255805648056E-3</v>
      </c>
      <c r="AK82" s="75">
        <f t="shared" si="62"/>
        <v>0</v>
      </c>
      <c r="AL82" s="75">
        <f t="shared" si="62"/>
        <v>0</v>
      </c>
      <c r="AM82" s="75">
        <f t="shared" si="62"/>
        <v>1.8172816799550011</v>
      </c>
      <c r="AN82" s="75"/>
      <c r="AO82" s="75"/>
      <c r="AP82" s="76" t="e">
        <f>+VLOOKUP($A82,#REF!,2,FALSE)</f>
        <v>#REF!</v>
      </c>
    </row>
    <row r="83" spans="1:42" s="77" customFormat="1">
      <c r="A83" s="78" t="s">
        <v>211</v>
      </c>
      <c r="B83" s="72">
        <v>90349.38</v>
      </c>
      <c r="C83" s="92">
        <v>35.588744002813236</v>
      </c>
      <c r="D83" s="92">
        <v>31.3401</v>
      </c>
      <c r="E83" s="92">
        <v>0</v>
      </c>
      <c r="F83" s="92">
        <v>0</v>
      </c>
      <c r="G83" s="92">
        <v>0</v>
      </c>
      <c r="H83" s="92">
        <f t="shared" si="63"/>
        <v>66.928844002813236</v>
      </c>
      <c r="I83" s="72">
        <v>88532</v>
      </c>
      <c r="J83" s="72">
        <v>90349.38</v>
      </c>
      <c r="K83" s="72">
        <f t="shared" si="53"/>
        <v>1817.3800000000047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f t="shared" si="64"/>
        <v>180698.76</v>
      </c>
      <c r="U83" s="73" t="s">
        <v>330</v>
      </c>
      <c r="V83" s="117"/>
      <c r="W83" s="74"/>
      <c r="X83" s="75">
        <f t="shared" si="55"/>
        <v>3.9390136382577538E-4</v>
      </c>
      <c r="Y83" s="75">
        <f t="shared" si="56"/>
        <v>3.468767577597101E-4</v>
      </c>
      <c r="Z83" s="75">
        <f t="shared" si="57"/>
        <v>0</v>
      </c>
      <c r="AA83" s="75">
        <f t="shared" si="58"/>
        <v>0</v>
      </c>
      <c r="AB83" s="75">
        <f t="shared" si="59"/>
        <v>0</v>
      </c>
      <c r="AC83" s="75">
        <f t="shared" si="60"/>
        <v>7.4077812158548548E-4</v>
      </c>
      <c r="AD83" s="75">
        <f t="shared" si="61"/>
        <v>0.97988497541433039</v>
      </c>
      <c r="AE83" s="75">
        <f t="shared" si="62"/>
        <v>0</v>
      </c>
      <c r="AF83" s="75">
        <f t="shared" si="62"/>
        <v>0</v>
      </c>
      <c r="AG83" s="75">
        <f t="shared" si="62"/>
        <v>0</v>
      </c>
      <c r="AH83" s="75">
        <f t="shared" si="62"/>
        <v>0</v>
      </c>
      <c r="AI83" s="75">
        <f t="shared" si="62"/>
        <v>0</v>
      </c>
      <c r="AJ83" s="75">
        <f t="shared" si="62"/>
        <v>0</v>
      </c>
      <c r="AK83" s="75">
        <f t="shared" si="62"/>
        <v>0</v>
      </c>
      <c r="AL83" s="75">
        <f t="shared" si="62"/>
        <v>0</v>
      </c>
      <c r="AM83" s="75">
        <f t="shared" si="62"/>
        <v>2</v>
      </c>
      <c r="AN83" s="75"/>
      <c r="AO83" s="75"/>
      <c r="AP83" s="76" t="e">
        <f>+VLOOKUP($A83,#REF!,2,FALSE)</f>
        <v>#REF!</v>
      </c>
    </row>
    <row r="84" spans="1:42" s="77" customFormat="1">
      <c r="A84" s="78" t="s">
        <v>103</v>
      </c>
      <c r="B84" s="72">
        <v>95213.14</v>
      </c>
      <c r="C84" s="92">
        <v>60.498862373670271</v>
      </c>
      <c r="D84" s="92">
        <v>3.1968000000000001</v>
      </c>
      <c r="E84" s="92">
        <v>5.2000000000000005E-2</v>
      </c>
      <c r="F84" s="92">
        <v>0.8640000000000001</v>
      </c>
      <c r="G84" s="92">
        <v>0</v>
      </c>
      <c r="H84" s="92">
        <f t="shared" si="63"/>
        <v>64.611662373670271</v>
      </c>
      <c r="I84" s="72">
        <v>78524</v>
      </c>
      <c r="J84" s="72">
        <v>95213</v>
      </c>
      <c r="K84" s="72">
        <f t="shared" si="53"/>
        <v>16689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f t="shared" si="64"/>
        <v>190426</v>
      </c>
      <c r="U84" s="73" t="s">
        <v>330</v>
      </c>
      <c r="V84" s="117"/>
      <c r="W84" s="74"/>
      <c r="X84" s="75">
        <f t="shared" si="55"/>
        <v>6.3540454997776852E-4</v>
      </c>
      <c r="Y84" s="75">
        <f t="shared" si="56"/>
        <v>3.3575197709055707E-5</v>
      </c>
      <c r="Z84" s="75">
        <f t="shared" si="57"/>
        <v>5.4614310587803322E-7</v>
      </c>
      <c r="AA84" s="75">
        <f t="shared" si="58"/>
        <v>9.0743777592042461E-6</v>
      </c>
      <c r="AB84" s="75">
        <f t="shared" si="59"/>
        <v>0</v>
      </c>
      <c r="AC84" s="75">
        <f t="shared" si="60"/>
        <v>6.7860026855190653E-4</v>
      </c>
      <c r="AD84" s="75">
        <f t="shared" si="61"/>
        <v>0.82471810088397468</v>
      </c>
      <c r="AE84" s="75">
        <f t="shared" si="62"/>
        <v>0</v>
      </c>
      <c r="AF84" s="75">
        <f t="shared" si="62"/>
        <v>0</v>
      </c>
      <c r="AG84" s="75">
        <f t="shared" si="62"/>
        <v>0</v>
      </c>
      <c r="AH84" s="75">
        <f t="shared" si="62"/>
        <v>0</v>
      </c>
      <c r="AI84" s="75">
        <f t="shared" si="62"/>
        <v>0</v>
      </c>
      <c r="AJ84" s="75">
        <f t="shared" si="62"/>
        <v>0</v>
      </c>
      <c r="AK84" s="75">
        <f t="shared" si="62"/>
        <v>0</v>
      </c>
      <c r="AL84" s="75">
        <f t="shared" si="62"/>
        <v>0</v>
      </c>
      <c r="AM84" s="75">
        <f t="shared" si="62"/>
        <v>1.9999970592294298</v>
      </c>
      <c r="AN84" s="75"/>
      <c r="AO84" s="75"/>
      <c r="AP84" s="76" t="e">
        <f>+VLOOKUP($A84,#REF!,2,FALSE)</f>
        <v>#REF!</v>
      </c>
    </row>
    <row r="85" spans="1:42" s="77" customFormat="1">
      <c r="A85" s="78" t="s">
        <v>101</v>
      </c>
      <c r="B85" s="72">
        <v>154195.41</v>
      </c>
      <c r="C85" s="92">
        <v>72.409670637683789</v>
      </c>
      <c r="D85" s="92">
        <v>12.023999999999999</v>
      </c>
      <c r="E85" s="92">
        <v>2.7630000000000003</v>
      </c>
      <c r="F85" s="92">
        <v>0.98000000000000032</v>
      </c>
      <c r="G85" s="92">
        <v>10.500000000000002</v>
      </c>
      <c r="H85" s="92">
        <f t="shared" si="63"/>
        <v>98.676670637683799</v>
      </c>
      <c r="I85" s="72">
        <v>100000</v>
      </c>
      <c r="J85" s="72">
        <v>126000</v>
      </c>
      <c r="K85" s="72">
        <f t="shared" si="53"/>
        <v>26000</v>
      </c>
      <c r="L85" s="72">
        <v>1000</v>
      </c>
      <c r="M85" s="72">
        <v>720</v>
      </c>
      <c r="N85" s="72">
        <v>430</v>
      </c>
      <c r="O85" s="72">
        <v>313</v>
      </c>
      <c r="P85" s="72">
        <v>0</v>
      </c>
      <c r="Q85" s="72">
        <v>456</v>
      </c>
      <c r="R85" s="72">
        <v>0</v>
      </c>
      <c r="S85" s="72">
        <v>0</v>
      </c>
      <c r="T85" s="72">
        <f t="shared" si="64"/>
        <v>254919</v>
      </c>
      <c r="U85" s="73" t="s">
        <v>330</v>
      </c>
      <c r="V85" s="117"/>
      <c r="W85" s="74"/>
      <c r="X85" s="75">
        <f t="shared" si="55"/>
        <v>4.6959679693243651E-4</v>
      </c>
      <c r="Y85" s="75">
        <f t="shared" si="56"/>
        <v>7.7978974860535725E-5</v>
      </c>
      <c r="Z85" s="75">
        <f t="shared" si="57"/>
        <v>1.7918821319000353E-5</v>
      </c>
      <c r="AA85" s="75">
        <f t="shared" si="58"/>
        <v>6.3555718033370794E-6</v>
      </c>
      <c r="AB85" s="75">
        <f t="shared" si="59"/>
        <v>6.8095412178611559E-5</v>
      </c>
      <c r="AC85" s="75">
        <f t="shared" si="60"/>
        <v>6.3994557709392121E-4</v>
      </c>
      <c r="AD85" s="75">
        <f t="shared" si="61"/>
        <v>0.64852773503439565</v>
      </c>
      <c r="AE85" s="75">
        <f t="shared" si="62"/>
        <v>6.4852773503439563E-3</v>
      </c>
      <c r="AF85" s="75">
        <f t="shared" si="62"/>
        <v>4.6693996922476484E-3</v>
      </c>
      <c r="AG85" s="75">
        <f t="shared" si="62"/>
        <v>2.7886692606479014E-3</v>
      </c>
      <c r="AH85" s="75">
        <f t="shared" si="62"/>
        <v>2.0298918106576584E-3</v>
      </c>
      <c r="AI85" s="75">
        <f t="shared" si="62"/>
        <v>0</v>
      </c>
      <c r="AJ85" s="75">
        <f t="shared" si="62"/>
        <v>2.957286471756844E-3</v>
      </c>
      <c r="AK85" s="75">
        <f t="shared" si="62"/>
        <v>0</v>
      </c>
      <c r="AL85" s="75">
        <f t="shared" si="62"/>
        <v>0</v>
      </c>
      <c r="AM85" s="75">
        <f t="shared" si="62"/>
        <v>1.653220416872331</v>
      </c>
      <c r="AN85" s="75"/>
      <c r="AO85" s="75"/>
      <c r="AP85" s="76" t="e">
        <f>+VLOOKUP($A85,#REF!,2,FALSE)</f>
        <v>#REF!</v>
      </c>
    </row>
    <row r="86" spans="1:42" s="77" customFormat="1">
      <c r="A86" s="78" t="s">
        <v>98</v>
      </c>
      <c r="B86" s="72">
        <v>254133.42</v>
      </c>
      <c r="C86" s="92">
        <v>240.6</v>
      </c>
      <c r="D86" s="92">
        <v>0.69920000000000004</v>
      </c>
      <c r="E86" s="92">
        <v>0.248</v>
      </c>
      <c r="F86" s="92">
        <v>0</v>
      </c>
      <c r="G86" s="92">
        <v>0</v>
      </c>
      <c r="H86" s="92">
        <f t="shared" si="63"/>
        <v>241.54719999999998</v>
      </c>
      <c r="I86" s="72">
        <v>162325</v>
      </c>
      <c r="J86" s="72">
        <v>162325</v>
      </c>
      <c r="K86" s="72">
        <f t="shared" si="53"/>
        <v>0</v>
      </c>
      <c r="L86" s="72">
        <v>0</v>
      </c>
      <c r="M86" s="72">
        <v>0</v>
      </c>
      <c r="N86" s="72">
        <v>626</v>
      </c>
      <c r="O86" s="72">
        <v>500</v>
      </c>
      <c r="P86" s="72">
        <v>576</v>
      </c>
      <c r="Q86" s="72">
        <v>142</v>
      </c>
      <c r="R86" s="72">
        <v>0</v>
      </c>
      <c r="S86" s="72">
        <v>476</v>
      </c>
      <c r="T86" s="72">
        <f t="shared" si="64"/>
        <v>326970</v>
      </c>
      <c r="U86" s="73" t="s">
        <v>330</v>
      </c>
      <c r="V86" s="117"/>
      <c r="W86" s="74"/>
      <c r="X86" s="75">
        <f t="shared" si="55"/>
        <v>9.4674679150817697E-4</v>
      </c>
      <c r="Y86" s="75">
        <f t="shared" si="56"/>
        <v>2.7513107091542701E-6</v>
      </c>
      <c r="Z86" s="75">
        <f t="shared" si="57"/>
        <v>9.7586535450551916E-7</v>
      </c>
      <c r="AA86" s="75">
        <f t="shared" si="58"/>
        <v>0</v>
      </c>
      <c r="AB86" s="75">
        <f t="shared" si="59"/>
        <v>0</v>
      </c>
      <c r="AC86" s="75">
        <f t="shared" si="60"/>
        <v>9.5047396757183674E-4</v>
      </c>
      <c r="AD86" s="75">
        <f t="shared" si="61"/>
        <v>0.63873928899237253</v>
      </c>
      <c r="AE86" s="75">
        <f t="shared" si="62"/>
        <v>0</v>
      </c>
      <c r="AF86" s="75">
        <f t="shared" si="62"/>
        <v>0</v>
      </c>
      <c r="AG86" s="75">
        <f t="shared" si="62"/>
        <v>2.4632730319373184E-3</v>
      </c>
      <c r="AH86" s="75">
        <f t="shared" si="62"/>
        <v>1.9674704727933854E-3</v>
      </c>
      <c r="AI86" s="75">
        <f t="shared" si="62"/>
        <v>2.2665259846579799E-3</v>
      </c>
      <c r="AJ86" s="75">
        <f t="shared" si="62"/>
        <v>5.587616142733214E-4</v>
      </c>
      <c r="AK86" s="75">
        <f t="shared" si="62"/>
        <v>0</v>
      </c>
      <c r="AL86" s="75">
        <f t="shared" si="62"/>
        <v>1.8730318900993029E-3</v>
      </c>
      <c r="AM86" s="75">
        <f t="shared" si="62"/>
        <v>1.2866076409785063</v>
      </c>
      <c r="AN86" s="75"/>
      <c r="AO86" s="75"/>
      <c r="AP86" s="76" t="e">
        <f>+VLOOKUP($A86,#REF!,2,FALSE)</f>
        <v>#REF!</v>
      </c>
    </row>
    <row r="87" spans="1:42" s="77" customFormat="1">
      <c r="A87" s="78" t="s">
        <v>125</v>
      </c>
      <c r="B87" s="72">
        <v>139179.76</v>
      </c>
      <c r="C87" s="92">
        <v>64.297305577062403</v>
      </c>
      <c r="D87" s="92">
        <v>0.4575000000000003</v>
      </c>
      <c r="E87" s="92">
        <v>0</v>
      </c>
      <c r="F87" s="92">
        <v>9.1499999999999968</v>
      </c>
      <c r="G87" s="92">
        <v>0</v>
      </c>
      <c r="H87" s="92">
        <f t="shared" si="63"/>
        <v>73.90480557706239</v>
      </c>
      <c r="I87" s="72">
        <v>114656</v>
      </c>
      <c r="J87" s="72">
        <v>121250</v>
      </c>
      <c r="K87" s="72">
        <f t="shared" si="53"/>
        <v>6594</v>
      </c>
      <c r="L87" s="72">
        <v>0</v>
      </c>
      <c r="M87" s="72">
        <v>2</v>
      </c>
      <c r="N87" s="72">
        <v>10642</v>
      </c>
      <c r="O87" s="72">
        <v>62</v>
      </c>
      <c r="P87" s="72">
        <v>3540</v>
      </c>
      <c r="Q87" s="72">
        <v>234</v>
      </c>
      <c r="R87" s="72">
        <v>0</v>
      </c>
      <c r="S87" s="72">
        <v>0</v>
      </c>
      <c r="T87" s="72">
        <f t="shared" si="64"/>
        <v>256980</v>
      </c>
      <c r="U87" s="73" t="s">
        <v>330</v>
      </c>
      <c r="V87" s="117"/>
      <c r="W87" s="74"/>
      <c r="X87" s="75">
        <f t="shared" si="55"/>
        <v>4.619731028208584E-4</v>
      </c>
      <c r="Y87" s="75">
        <f t="shared" si="56"/>
        <v>3.2871158852407871E-6</v>
      </c>
      <c r="Z87" s="75">
        <f t="shared" si="57"/>
        <v>0</v>
      </c>
      <c r="AA87" s="75">
        <f t="shared" si="58"/>
        <v>6.574231770481567E-5</v>
      </c>
      <c r="AB87" s="75">
        <f t="shared" si="59"/>
        <v>0</v>
      </c>
      <c r="AC87" s="75">
        <f t="shared" si="60"/>
        <v>5.3100253641091485E-4</v>
      </c>
      <c r="AD87" s="75">
        <f t="shared" si="61"/>
        <v>0.82379794303424569</v>
      </c>
      <c r="AE87" s="75">
        <f t="shared" si="62"/>
        <v>0</v>
      </c>
      <c r="AF87" s="75">
        <f t="shared" si="62"/>
        <v>1.4369905509249332E-5</v>
      </c>
      <c r="AG87" s="75">
        <f t="shared" si="62"/>
        <v>7.6462267214715704E-2</v>
      </c>
      <c r="AH87" s="75">
        <f t="shared" si="62"/>
        <v>4.454670707867293E-4</v>
      </c>
      <c r="AI87" s="75">
        <f t="shared" si="62"/>
        <v>2.5434732751371317E-2</v>
      </c>
      <c r="AJ87" s="75">
        <f t="shared" si="62"/>
        <v>1.6812789445821718E-3</v>
      </c>
      <c r="AK87" s="75">
        <f t="shared" si="62"/>
        <v>0</v>
      </c>
      <c r="AL87" s="75">
        <f t="shared" si="62"/>
        <v>0</v>
      </c>
      <c r="AM87" s="75">
        <f t="shared" si="62"/>
        <v>1.8463891588834467</v>
      </c>
      <c r="AN87" s="75"/>
      <c r="AO87" s="75"/>
      <c r="AP87" s="76" t="e">
        <f>+VLOOKUP($A87,#REF!,2,FALSE)</f>
        <v>#REF!</v>
      </c>
    </row>
    <row r="88" spans="1:42" s="77" customFormat="1">
      <c r="A88" s="84" t="s">
        <v>100</v>
      </c>
      <c r="B88" s="72">
        <v>144264.62</v>
      </c>
      <c r="C88" s="92">
        <v>85.5</v>
      </c>
      <c r="D88" s="92">
        <v>7.1600000000000019</v>
      </c>
      <c r="E88" s="92">
        <v>6.2700000000000014</v>
      </c>
      <c r="F88" s="92">
        <v>34.450000000000017</v>
      </c>
      <c r="G88" s="92">
        <v>2.9600000000000004</v>
      </c>
      <c r="H88" s="92">
        <f t="shared" si="63"/>
        <v>136.34</v>
      </c>
      <c r="I88" s="72">
        <v>139177</v>
      </c>
      <c r="J88" s="72">
        <v>139177</v>
      </c>
      <c r="K88" s="72">
        <f t="shared" si="53"/>
        <v>0</v>
      </c>
      <c r="L88" s="72">
        <v>5088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f t="shared" si="64"/>
        <v>283442</v>
      </c>
      <c r="U88" s="73" t="s">
        <v>330</v>
      </c>
      <c r="V88" s="117"/>
      <c r="W88" s="74"/>
      <c r="X88" s="75">
        <f t="shared" si="55"/>
        <v>5.9266090327621561E-4</v>
      </c>
      <c r="Y88" s="75">
        <f t="shared" si="56"/>
        <v>4.9631018332838658E-5</v>
      </c>
      <c r="Z88" s="75">
        <f t="shared" si="57"/>
        <v>4.3461799573589158E-5</v>
      </c>
      <c r="AA88" s="75">
        <f t="shared" si="58"/>
        <v>2.3879728792825308E-4</v>
      </c>
      <c r="AB88" s="75">
        <f t="shared" si="59"/>
        <v>2.0517851154357878E-5</v>
      </c>
      <c r="AC88" s="75">
        <f t="shared" si="60"/>
        <v>9.4506886026525429E-4</v>
      </c>
      <c r="AD88" s="75">
        <f t="shared" si="61"/>
        <v>0.96473411152367095</v>
      </c>
      <c r="AE88" s="75">
        <f t="shared" si="62"/>
        <v>3.5268522524788133E-2</v>
      </c>
      <c r="AF88" s="75">
        <f t="shared" si="62"/>
        <v>0</v>
      </c>
      <c r="AG88" s="75">
        <f t="shared" si="62"/>
        <v>0</v>
      </c>
      <c r="AH88" s="75">
        <f t="shared" si="62"/>
        <v>0</v>
      </c>
      <c r="AI88" s="75">
        <f t="shared" si="62"/>
        <v>0</v>
      </c>
      <c r="AJ88" s="75">
        <f t="shared" si="62"/>
        <v>0</v>
      </c>
      <c r="AK88" s="75">
        <f t="shared" si="62"/>
        <v>0</v>
      </c>
      <c r="AL88" s="75">
        <f t="shared" si="62"/>
        <v>0</v>
      </c>
      <c r="AM88" s="75">
        <f t="shared" si="62"/>
        <v>1.9647367455721299</v>
      </c>
      <c r="AN88" s="75"/>
      <c r="AO88" s="75"/>
      <c r="AP88" s="76" t="e">
        <f>+VLOOKUP($A88,#REF!,2,FALSE)</f>
        <v>#REF!</v>
      </c>
    </row>
    <row r="89" spans="1:42" s="77" customFormat="1">
      <c r="A89" s="84" t="s">
        <v>102</v>
      </c>
      <c r="B89" s="72">
        <v>61753.120000000003</v>
      </c>
      <c r="C89" s="92">
        <v>47.243059210774419</v>
      </c>
      <c r="D89" s="92">
        <v>0.76110000000000022</v>
      </c>
      <c r="E89" s="92">
        <v>2.6513300000000002</v>
      </c>
      <c r="F89" s="92">
        <v>10.354355</v>
      </c>
      <c r="G89" s="92">
        <v>0</v>
      </c>
      <c r="H89" s="92">
        <f t="shared" si="63"/>
        <v>61.009844210774418</v>
      </c>
      <c r="I89" s="72">
        <v>61526</v>
      </c>
      <c r="J89" s="72">
        <v>61023</v>
      </c>
      <c r="K89" s="72">
        <f t="shared" si="53"/>
        <v>-503</v>
      </c>
      <c r="L89" s="72">
        <v>0</v>
      </c>
      <c r="M89" s="72">
        <v>0</v>
      </c>
      <c r="N89" s="72">
        <v>227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72">
        <f t="shared" si="64"/>
        <v>122273</v>
      </c>
      <c r="U89" s="73" t="s">
        <v>330</v>
      </c>
      <c r="V89" s="117"/>
      <c r="W89" s="74"/>
      <c r="X89" s="75">
        <f t="shared" si="55"/>
        <v>7.6503113058537639E-4</v>
      </c>
      <c r="Y89" s="75">
        <f t="shared" si="56"/>
        <v>1.2324883341926694E-5</v>
      </c>
      <c r="Z89" s="75">
        <f t="shared" si="57"/>
        <v>4.2934348904152537E-5</v>
      </c>
      <c r="AA89" s="75">
        <f t="shared" si="58"/>
        <v>1.676733904295038E-4</v>
      </c>
      <c r="AB89" s="75">
        <f t="shared" si="59"/>
        <v>0</v>
      </c>
      <c r="AC89" s="75">
        <f t="shared" si="60"/>
        <v>9.8796375326095937E-4</v>
      </c>
      <c r="AD89" s="75">
        <f t="shared" si="61"/>
        <v>0.99632212914910201</v>
      </c>
      <c r="AE89" s="75">
        <f t="shared" si="62"/>
        <v>0</v>
      </c>
      <c r="AF89" s="75">
        <f t="shared" si="62"/>
        <v>0</v>
      </c>
      <c r="AG89" s="75">
        <f t="shared" si="62"/>
        <v>3.6759276292436722E-3</v>
      </c>
      <c r="AH89" s="75">
        <f t="shared" si="62"/>
        <v>0</v>
      </c>
      <c r="AI89" s="75">
        <f t="shared" si="62"/>
        <v>0</v>
      </c>
      <c r="AJ89" s="75">
        <f t="shared" si="62"/>
        <v>0</v>
      </c>
      <c r="AK89" s="75">
        <f t="shared" si="62"/>
        <v>0</v>
      </c>
      <c r="AL89" s="75">
        <f t="shared" si="62"/>
        <v>0</v>
      </c>
      <c r="AM89" s="75">
        <f t="shared" si="62"/>
        <v>1.9800295110595221</v>
      </c>
      <c r="AN89" s="75"/>
      <c r="AO89" s="75"/>
      <c r="AP89" s="76" t="e">
        <f>+VLOOKUP($A89,#REF!,2,FALSE)</f>
        <v>#REF!</v>
      </c>
    </row>
    <row r="90" spans="1:42" s="77" customFormat="1">
      <c r="A90" s="78" t="s">
        <v>212</v>
      </c>
      <c r="B90" s="72">
        <v>158405.98000000001</v>
      </c>
      <c r="C90" s="92">
        <v>122.926</v>
      </c>
      <c r="D90" s="92">
        <v>16.032</v>
      </c>
      <c r="E90" s="92">
        <v>0</v>
      </c>
      <c r="F90" s="92">
        <v>0</v>
      </c>
      <c r="G90" s="92">
        <v>0</v>
      </c>
      <c r="H90" s="92">
        <f t="shared" si="63"/>
        <v>138.958</v>
      </c>
      <c r="I90" s="72">
        <v>95810</v>
      </c>
      <c r="J90" s="72">
        <v>95810</v>
      </c>
      <c r="K90" s="72">
        <f t="shared" si="53"/>
        <v>0</v>
      </c>
      <c r="L90" s="72">
        <v>0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f t="shared" si="64"/>
        <v>191620</v>
      </c>
      <c r="U90" s="73" t="s">
        <v>330</v>
      </c>
      <c r="V90" s="117"/>
      <c r="W90" s="74"/>
      <c r="X90" s="75">
        <f t="shared" si="55"/>
        <v>7.7601868313304835E-4</v>
      </c>
      <c r="Y90" s="75">
        <f t="shared" si="56"/>
        <v>1.0120830034320674E-4</v>
      </c>
      <c r="Z90" s="75">
        <f t="shared" si="57"/>
        <v>0</v>
      </c>
      <c r="AA90" s="75">
        <f t="shared" si="58"/>
        <v>0</v>
      </c>
      <c r="AB90" s="75">
        <f t="shared" si="59"/>
        <v>0</v>
      </c>
      <c r="AC90" s="75">
        <f t="shared" si="60"/>
        <v>8.7722698347625502E-4</v>
      </c>
      <c r="AD90" s="75">
        <f t="shared" si="61"/>
        <v>0.60483827693878722</v>
      </c>
      <c r="AE90" s="75">
        <f t="shared" si="62"/>
        <v>0</v>
      </c>
      <c r="AF90" s="75">
        <f t="shared" si="62"/>
        <v>0</v>
      </c>
      <c r="AG90" s="75">
        <f t="shared" si="62"/>
        <v>0</v>
      </c>
      <c r="AH90" s="75">
        <f t="shared" si="62"/>
        <v>0</v>
      </c>
      <c r="AI90" s="75">
        <f t="shared" si="62"/>
        <v>0</v>
      </c>
      <c r="AJ90" s="75">
        <f t="shared" si="62"/>
        <v>0</v>
      </c>
      <c r="AK90" s="75">
        <f t="shared" si="62"/>
        <v>0</v>
      </c>
      <c r="AL90" s="75">
        <f t="shared" si="62"/>
        <v>0</v>
      </c>
      <c r="AM90" s="75">
        <f t="shared" si="62"/>
        <v>1.2096765538775744</v>
      </c>
      <c r="AN90" s="75"/>
      <c r="AO90" s="75"/>
      <c r="AP90" s="76" t="e">
        <f>+VLOOKUP($A90,#REF!,2,FALSE)</f>
        <v>#REF!</v>
      </c>
    </row>
    <row r="91" spans="1:42" s="77" customFormat="1">
      <c r="A91" s="78" t="s">
        <v>99</v>
      </c>
      <c r="B91" s="72">
        <v>92418.800000000017</v>
      </c>
      <c r="C91" s="92">
        <v>15.145861480889609</v>
      </c>
      <c r="D91" s="92">
        <v>2.1923200000000005</v>
      </c>
      <c r="E91" s="92">
        <v>0</v>
      </c>
      <c r="F91" s="92">
        <v>0</v>
      </c>
      <c r="G91" s="92">
        <v>0</v>
      </c>
      <c r="H91" s="92">
        <f t="shared" si="63"/>
        <v>17.33818148088961</v>
      </c>
      <c r="I91" s="72">
        <v>34923</v>
      </c>
      <c r="J91" s="72">
        <v>34923</v>
      </c>
      <c r="K91" s="72">
        <f t="shared" si="53"/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72">
        <v>0</v>
      </c>
      <c r="S91" s="72">
        <v>0</v>
      </c>
      <c r="T91" s="72">
        <f t="shared" si="64"/>
        <v>69846</v>
      </c>
      <c r="U91" s="73" t="s">
        <v>330</v>
      </c>
      <c r="V91" s="117"/>
      <c r="W91" s="74"/>
      <c r="X91" s="75">
        <f t="shared" si="55"/>
        <v>1.6388290565220071E-4</v>
      </c>
      <c r="Y91" s="75">
        <f t="shared" si="56"/>
        <v>2.3721580457655803E-5</v>
      </c>
      <c r="Z91" s="75">
        <f t="shared" si="57"/>
        <v>0</v>
      </c>
      <c r="AA91" s="75">
        <f t="shared" si="58"/>
        <v>0</v>
      </c>
      <c r="AB91" s="75">
        <f t="shared" si="59"/>
        <v>0</v>
      </c>
      <c r="AC91" s="75">
        <f t="shared" si="60"/>
        <v>1.8760448610985651E-4</v>
      </c>
      <c r="AD91" s="75">
        <f t="shared" si="61"/>
        <v>0.37787766125506922</v>
      </c>
      <c r="AE91" s="75">
        <f t="shared" si="62"/>
        <v>0</v>
      </c>
      <c r="AF91" s="75">
        <f t="shared" si="62"/>
        <v>0</v>
      </c>
      <c r="AG91" s="75">
        <f t="shared" si="62"/>
        <v>0</v>
      </c>
      <c r="AH91" s="75">
        <f t="shared" si="62"/>
        <v>0</v>
      </c>
      <c r="AI91" s="75">
        <f t="shared" si="62"/>
        <v>0</v>
      </c>
      <c r="AJ91" s="75">
        <f t="shared" si="62"/>
        <v>0</v>
      </c>
      <c r="AK91" s="75">
        <f t="shared" si="62"/>
        <v>0</v>
      </c>
      <c r="AL91" s="75">
        <f t="shared" si="62"/>
        <v>0</v>
      </c>
      <c r="AM91" s="75">
        <f t="shared" si="62"/>
        <v>0.75575532251013844</v>
      </c>
      <c r="AN91" s="75"/>
      <c r="AO91" s="75"/>
      <c r="AP91" s="76" t="e">
        <f>+VLOOKUP($A91,#REF!,2,FALSE)</f>
        <v>#REF!</v>
      </c>
    </row>
    <row r="92" spans="1:42" s="77" customFormat="1">
      <c r="A92" s="80" t="s">
        <v>9</v>
      </c>
      <c r="B92" s="90">
        <f>SUM(B80:B91)</f>
        <v>1460837.6300000001</v>
      </c>
      <c r="C92" s="93">
        <f t="shared" ref="C92:T92" si="65">SUM(C80:C91)</f>
        <v>911.8133644329605</v>
      </c>
      <c r="D92" s="93">
        <f t="shared" si="65"/>
        <v>103.23425641200002</v>
      </c>
      <c r="E92" s="93">
        <f t="shared" si="65"/>
        <v>12.292330000000002</v>
      </c>
      <c r="F92" s="93">
        <f t="shared" si="65"/>
        <v>59.802892282953401</v>
      </c>
      <c r="G92" s="93">
        <f t="shared" si="65"/>
        <v>13.550951600000003</v>
      </c>
      <c r="H92" s="93">
        <f t="shared" si="65"/>
        <v>1100.6937947279141</v>
      </c>
      <c r="I92" s="90">
        <f t="shared" si="65"/>
        <v>1107657</v>
      </c>
      <c r="J92" s="90">
        <f t="shared" si="65"/>
        <v>1130915.3799999999</v>
      </c>
      <c r="K92" s="90">
        <f t="shared" si="65"/>
        <v>23258.380000000005</v>
      </c>
      <c r="L92" s="90">
        <f t="shared" si="65"/>
        <v>12047</v>
      </c>
      <c r="M92" s="90">
        <f t="shared" si="65"/>
        <v>722</v>
      </c>
      <c r="N92" s="90">
        <f t="shared" si="65"/>
        <v>11925</v>
      </c>
      <c r="O92" s="90">
        <f t="shared" si="65"/>
        <v>5384</v>
      </c>
      <c r="P92" s="90">
        <f t="shared" si="65"/>
        <v>4116</v>
      </c>
      <c r="Q92" s="90">
        <f t="shared" si="65"/>
        <v>1875</v>
      </c>
      <c r="R92" s="90">
        <f t="shared" si="65"/>
        <v>0</v>
      </c>
      <c r="S92" s="90">
        <f t="shared" si="65"/>
        <v>476</v>
      </c>
      <c r="T92" s="90">
        <f t="shared" si="65"/>
        <v>2298375.7599999998</v>
      </c>
      <c r="U92" s="80"/>
      <c r="V92" s="117"/>
      <c r="W92" s="74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6"/>
    </row>
    <row r="93" spans="1:42" s="77" customFormat="1">
      <c r="A93" s="81" t="s">
        <v>342</v>
      </c>
      <c r="B93" s="72"/>
      <c r="C93" s="92"/>
      <c r="D93" s="92"/>
      <c r="E93" s="92"/>
      <c r="F93" s="92"/>
      <c r="G93" s="92"/>
      <c r="H93" s="9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3"/>
      <c r="V93" s="117"/>
      <c r="W93" s="74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6"/>
    </row>
    <row r="94" spans="1:42" s="77" customFormat="1">
      <c r="A94" s="79" t="s">
        <v>57</v>
      </c>
      <c r="B94" s="82">
        <v>45689.97</v>
      </c>
      <c r="C94" s="92">
        <v>96.449999999999989</v>
      </c>
      <c r="D94" s="92">
        <v>45.059999999999995</v>
      </c>
      <c r="E94" s="92">
        <v>12.920000000000002</v>
      </c>
      <c r="F94" s="92">
        <v>10</v>
      </c>
      <c r="G94" s="92">
        <v>0</v>
      </c>
      <c r="H94" s="92">
        <f>SUM(C94:G94)</f>
        <v>164.43</v>
      </c>
      <c r="I94" s="72">
        <f>43850-22130</f>
        <v>21720</v>
      </c>
      <c r="J94" s="72">
        <v>14800</v>
      </c>
      <c r="K94" s="72">
        <f t="shared" si="53"/>
        <v>-6920</v>
      </c>
      <c r="L94" s="72">
        <v>2480</v>
      </c>
      <c r="M94" s="72">
        <v>1500</v>
      </c>
      <c r="N94" s="72">
        <v>1120</v>
      </c>
      <c r="O94" s="72">
        <v>3867</v>
      </c>
      <c r="P94" s="72">
        <v>1161</v>
      </c>
      <c r="Q94" s="72">
        <v>3690</v>
      </c>
      <c r="R94" s="72">
        <v>3511</v>
      </c>
      <c r="S94" s="72">
        <v>6641</v>
      </c>
      <c r="T94" s="72">
        <f>SUM(I94:S94)</f>
        <v>53570</v>
      </c>
      <c r="U94" s="73" t="s">
        <v>348</v>
      </c>
      <c r="V94" s="117"/>
      <c r="W94" s="74"/>
      <c r="X94" s="75">
        <f t="shared" ref="X94:X107" si="66">+C94/$B94</f>
        <v>2.110966586320805E-3</v>
      </c>
      <c r="Y94" s="75">
        <f t="shared" ref="Y94:Y107" si="67">+D94/$B94</f>
        <v>9.8621207236511627E-4</v>
      </c>
      <c r="Z94" s="75">
        <f t="shared" ref="Z94:Z107" si="68">+E94/$B94</f>
        <v>2.8277541000792955E-4</v>
      </c>
      <c r="AA94" s="75">
        <f t="shared" ref="AA94:AA107" si="69">+F94/$B94</f>
        <v>2.1886641641480614E-4</v>
      </c>
      <c r="AB94" s="75">
        <f t="shared" ref="AB94:AB107" si="70">+G94/$B94</f>
        <v>0</v>
      </c>
      <c r="AC94" s="75">
        <f t="shared" ref="AC94:AC107" si="71">+H94/$B94</f>
        <v>3.5988204851086572E-3</v>
      </c>
      <c r="AD94" s="75">
        <f t="shared" ref="AD94:AD107" si="72">+I94/$B94</f>
        <v>0.47537785645295894</v>
      </c>
      <c r="AE94" s="75">
        <f t="shared" si="62"/>
        <v>5.4278871270871921E-2</v>
      </c>
      <c r="AF94" s="75">
        <f t="shared" si="62"/>
        <v>3.2829962462220919E-2</v>
      </c>
      <c r="AG94" s="75">
        <f t="shared" si="62"/>
        <v>2.4513038638458287E-2</v>
      </c>
      <c r="AH94" s="75">
        <f t="shared" si="62"/>
        <v>8.4635643227605528E-2</v>
      </c>
      <c r="AI94" s="75">
        <f t="shared" si="62"/>
        <v>2.5410390945758993E-2</v>
      </c>
      <c r="AJ94" s="75">
        <f t="shared" si="62"/>
        <v>8.0761707657063461E-2</v>
      </c>
      <c r="AK94" s="75">
        <f t="shared" si="62"/>
        <v>7.6843998803238431E-2</v>
      </c>
      <c r="AL94" s="75">
        <f t="shared" si="62"/>
        <v>0.14534918714107276</v>
      </c>
      <c r="AM94" s="75">
        <f t="shared" si="62"/>
        <v>1.1724673927341165</v>
      </c>
      <c r="AN94" s="75"/>
      <c r="AO94" s="75"/>
      <c r="AP94" s="76" t="e">
        <f>+VLOOKUP($A94,#REF!,2,FALSE)</f>
        <v>#REF!</v>
      </c>
    </row>
    <row r="95" spans="1:42" s="77" customFormat="1">
      <c r="A95" s="78" t="s">
        <v>52</v>
      </c>
      <c r="B95" s="72">
        <v>162889.4</v>
      </c>
      <c r="C95" s="92">
        <v>53.801549313599764</v>
      </c>
      <c r="D95" s="92">
        <v>11.132</v>
      </c>
      <c r="E95" s="92">
        <v>3.0400000000000018</v>
      </c>
      <c r="F95" s="92">
        <v>12.200000000000001</v>
      </c>
      <c r="G95" s="92">
        <v>0</v>
      </c>
      <c r="H95" s="92">
        <f t="shared" ref="H95:H107" si="73">SUM(C95:G95)</f>
        <v>80.173549313599779</v>
      </c>
      <c r="I95" s="72">
        <v>49200</v>
      </c>
      <c r="J95" s="72">
        <v>43095</v>
      </c>
      <c r="K95" s="72">
        <f t="shared" si="53"/>
        <v>-6105</v>
      </c>
      <c r="L95" s="72">
        <v>500</v>
      </c>
      <c r="M95" s="72">
        <v>0</v>
      </c>
      <c r="N95" s="72">
        <v>0</v>
      </c>
      <c r="O95" s="72">
        <v>3720</v>
      </c>
      <c r="P95" s="72">
        <v>0</v>
      </c>
      <c r="Q95" s="72">
        <v>14465</v>
      </c>
      <c r="R95" s="72">
        <v>11030</v>
      </c>
      <c r="S95" s="72">
        <v>0</v>
      </c>
      <c r="T95" s="72">
        <f t="shared" ref="T95:T107" si="74">SUM(I95:S95)</f>
        <v>115905</v>
      </c>
      <c r="U95" s="73" t="s">
        <v>348</v>
      </c>
      <c r="V95" s="117"/>
      <c r="W95" s="74"/>
      <c r="X95" s="75">
        <f t="shared" si="66"/>
        <v>3.3029496893965948E-4</v>
      </c>
      <c r="Y95" s="75">
        <f t="shared" si="67"/>
        <v>6.8340849680826376E-5</v>
      </c>
      <c r="Z95" s="75">
        <f t="shared" si="68"/>
        <v>1.8662970088906962E-5</v>
      </c>
      <c r="AA95" s="75">
        <f t="shared" si="69"/>
        <v>7.4897445751534491E-5</v>
      </c>
      <c r="AB95" s="75">
        <f t="shared" si="70"/>
        <v>0</v>
      </c>
      <c r="AC95" s="75">
        <f t="shared" si="71"/>
        <v>4.9219623446092732E-4</v>
      </c>
      <c r="AD95" s="75">
        <f t="shared" si="72"/>
        <v>0.30204543696520464</v>
      </c>
      <c r="AE95" s="75">
        <f t="shared" si="62"/>
        <v>3.0695674488333802E-3</v>
      </c>
      <c r="AF95" s="75">
        <f t="shared" si="62"/>
        <v>0</v>
      </c>
      <c r="AG95" s="75">
        <f t="shared" si="62"/>
        <v>0</v>
      </c>
      <c r="AH95" s="75">
        <f t="shared" si="62"/>
        <v>2.283758181932035E-2</v>
      </c>
      <c r="AI95" s="75">
        <f t="shared" si="62"/>
        <v>0</v>
      </c>
      <c r="AJ95" s="75">
        <f t="shared" si="62"/>
        <v>8.8802586294749686E-2</v>
      </c>
      <c r="AK95" s="75">
        <f t="shared" si="62"/>
        <v>6.7714657921264368E-2</v>
      </c>
      <c r="AL95" s="75">
        <f t="shared" si="62"/>
        <v>0</v>
      </c>
      <c r="AM95" s="75">
        <f t="shared" si="62"/>
        <v>0.7115564303140659</v>
      </c>
      <c r="AN95" s="75"/>
      <c r="AO95" s="75"/>
      <c r="AP95" s="76" t="e">
        <f>+VLOOKUP($A95,#REF!,2,FALSE)</f>
        <v>#REF!</v>
      </c>
    </row>
    <row r="96" spans="1:42" s="77" customFormat="1">
      <c r="A96" s="78" t="s">
        <v>86</v>
      </c>
      <c r="B96" s="72">
        <v>43991.9</v>
      </c>
      <c r="C96" s="92">
        <v>6.8449858335819354</v>
      </c>
      <c r="D96" s="92">
        <v>1.4902</v>
      </c>
      <c r="E96" s="92">
        <v>0</v>
      </c>
      <c r="F96" s="92">
        <v>0</v>
      </c>
      <c r="G96" s="92">
        <v>0.75</v>
      </c>
      <c r="H96" s="92">
        <f t="shared" si="73"/>
        <v>9.0851858335819351</v>
      </c>
      <c r="I96" s="72">
        <v>27385</v>
      </c>
      <c r="J96" s="72">
        <v>27385</v>
      </c>
      <c r="K96" s="72">
        <f t="shared" si="53"/>
        <v>0</v>
      </c>
      <c r="L96" s="72">
        <v>2500</v>
      </c>
      <c r="M96" s="72">
        <v>0</v>
      </c>
      <c r="N96" s="72">
        <v>0</v>
      </c>
      <c r="O96" s="72">
        <v>7080</v>
      </c>
      <c r="P96" s="72">
        <v>1460</v>
      </c>
      <c r="Q96" s="72">
        <v>40</v>
      </c>
      <c r="R96" s="72">
        <v>0</v>
      </c>
      <c r="S96" s="72">
        <v>0</v>
      </c>
      <c r="T96" s="72">
        <f t="shared" si="74"/>
        <v>65850</v>
      </c>
      <c r="U96" s="73" t="s">
        <v>348</v>
      </c>
      <c r="V96" s="117"/>
      <c r="W96" s="74"/>
      <c r="X96" s="75">
        <f t="shared" si="66"/>
        <v>1.555965037559627E-4</v>
      </c>
      <c r="Y96" s="75">
        <f t="shared" si="67"/>
        <v>3.3874417790547805E-5</v>
      </c>
      <c r="Z96" s="75">
        <f t="shared" si="68"/>
        <v>0</v>
      </c>
      <c r="AA96" s="75">
        <f t="shared" si="69"/>
        <v>0</v>
      </c>
      <c r="AB96" s="75">
        <f t="shared" si="70"/>
        <v>1.7048593036445346E-5</v>
      </c>
      <c r="AC96" s="75">
        <f t="shared" si="71"/>
        <v>2.0651951458295584E-4</v>
      </c>
      <c r="AD96" s="75">
        <f t="shared" si="72"/>
        <v>0.62250096040407432</v>
      </c>
      <c r="AE96" s="75">
        <f t="shared" ref="AE96:AM113" si="75">+L96/$B96</f>
        <v>5.6828643454817813E-2</v>
      </c>
      <c r="AF96" s="75">
        <f t="shared" si="75"/>
        <v>0</v>
      </c>
      <c r="AG96" s="75">
        <f t="shared" si="75"/>
        <v>0</v>
      </c>
      <c r="AH96" s="75">
        <f t="shared" si="75"/>
        <v>0.16093871826404405</v>
      </c>
      <c r="AI96" s="75">
        <f t="shared" si="75"/>
        <v>3.3187927777613604E-2</v>
      </c>
      <c r="AJ96" s="75">
        <f t="shared" si="75"/>
        <v>9.0925829527708504E-4</v>
      </c>
      <c r="AK96" s="75">
        <f t="shared" si="75"/>
        <v>0</v>
      </c>
      <c r="AL96" s="75">
        <f t="shared" si="75"/>
        <v>0</v>
      </c>
      <c r="AM96" s="75">
        <f t="shared" si="75"/>
        <v>1.4968664685999014</v>
      </c>
      <c r="AN96" s="75"/>
      <c r="AO96" s="75"/>
      <c r="AP96" s="76" t="e">
        <f>+VLOOKUP($A96,#REF!,2,FALSE)</f>
        <v>#REF!</v>
      </c>
    </row>
    <row r="97" spans="1:42" s="77" customFormat="1">
      <c r="A97" s="78" t="s">
        <v>133</v>
      </c>
      <c r="B97" s="72">
        <v>124512.47</v>
      </c>
      <c r="C97" s="92">
        <v>176.18</v>
      </c>
      <c r="D97" s="92">
        <v>3.34</v>
      </c>
      <c r="E97" s="92">
        <v>0</v>
      </c>
      <c r="F97" s="92">
        <v>3.72</v>
      </c>
      <c r="G97" s="92">
        <v>0</v>
      </c>
      <c r="H97" s="92">
        <f t="shared" si="73"/>
        <v>183.24</v>
      </c>
      <c r="I97" s="72">
        <v>107361</v>
      </c>
      <c r="J97" s="72">
        <v>107496.47</v>
      </c>
      <c r="K97" s="72">
        <f t="shared" si="53"/>
        <v>135.47000000000116</v>
      </c>
      <c r="L97" s="72">
        <v>579</v>
      </c>
      <c r="M97" s="72">
        <v>200</v>
      </c>
      <c r="N97" s="72">
        <v>0</v>
      </c>
      <c r="O97" s="72">
        <v>4806</v>
      </c>
      <c r="P97" s="72">
        <v>1600</v>
      </c>
      <c r="Q97" s="72">
        <v>4390</v>
      </c>
      <c r="R97" s="72">
        <v>0</v>
      </c>
      <c r="S97" s="72">
        <v>0</v>
      </c>
      <c r="T97" s="72">
        <f t="shared" si="74"/>
        <v>226567.94</v>
      </c>
      <c r="U97" s="73" t="s">
        <v>348</v>
      </c>
      <c r="V97" s="117"/>
      <c r="W97" s="74"/>
      <c r="X97" s="75">
        <f t="shared" si="66"/>
        <v>1.4149586784359832E-3</v>
      </c>
      <c r="Y97" s="75">
        <f t="shared" si="67"/>
        <v>2.6824622465524938E-5</v>
      </c>
      <c r="Z97" s="75">
        <f t="shared" si="68"/>
        <v>0</v>
      </c>
      <c r="AA97" s="75">
        <f t="shared" si="69"/>
        <v>2.9876525620285262E-5</v>
      </c>
      <c r="AB97" s="75">
        <f t="shared" si="70"/>
        <v>0</v>
      </c>
      <c r="AC97" s="75">
        <f t="shared" si="71"/>
        <v>1.4716598265217934E-3</v>
      </c>
      <c r="AD97" s="75">
        <f t="shared" si="72"/>
        <v>0.86225098578479731</v>
      </c>
      <c r="AE97" s="75">
        <f t="shared" si="75"/>
        <v>4.6501366489637543E-3</v>
      </c>
      <c r="AF97" s="75">
        <f t="shared" si="75"/>
        <v>1.6062648182949065E-3</v>
      </c>
      <c r="AG97" s="75">
        <f t="shared" si="75"/>
        <v>0</v>
      </c>
      <c r="AH97" s="75">
        <f t="shared" si="75"/>
        <v>3.8598543583626604E-2</v>
      </c>
      <c r="AI97" s="75">
        <f t="shared" si="75"/>
        <v>1.2850118546359252E-2</v>
      </c>
      <c r="AJ97" s="75">
        <f t="shared" si="75"/>
        <v>3.5257512761573198E-2</v>
      </c>
      <c r="AK97" s="75">
        <f t="shared" si="75"/>
        <v>0</v>
      </c>
      <c r="AL97" s="75">
        <f t="shared" si="75"/>
        <v>0</v>
      </c>
      <c r="AM97" s="75">
        <f t="shared" si="75"/>
        <v>1.8196405548777563</v>
      </c>
      <c r="AN97" s="75"/>
      <c r="AO97" s="75"/>
      <c r="AP97" s="76" t="e">
        <f>+VLOOKUP($A97,#REF!,2,FALSE)</f>
        <v>#REF!</v>
      </c>
    </row>
    <row r="98" spans="1:42" s="77" customFormat="1">
      <c r="A98" s="78" t="s">
        <v>50</v>
      </c>
      <c r="B98" s="72">
        <v>166920.29999999999</v>
      </c>
      <c r="C98" s="92">
        <v>97.580000000000013</v>
      </c>
      <c r="D98" s="92">
        <v>7.71</v>
      </c>
      <c r="E98" s="92">
        <v>0</v>
      </c>
      <c r="F98" s="92">
        <v>1.59</v>
      </c>
      <c r="G98" s="92">
        <v>0</v>
      </c>
      <c r="H98" s="92">
        <f t="shared" si="73"/>
        <v>106.88000000000001</v>
      </c>
      <c r="I98" s="72">
        <v>2100</v>
      </c>
      <c r="J98" s="72">
        <v>0</v>
      </c>
      <c r="K98" s="72">
        <f t="shared" si="53"/>
        <v>-2100</v>
      </c>
      <c r="L98" s="72">
        <v>1500</v>
      </c>
      <c r="M98" s="72">
        <v>465</v>
      </c>
      <c r="N98" s="72">
        <v>0</v>
      </c>
      <c r="O98" s="72">
        <v>101672</v>
      </c>
      <c r="P98" s="72">
        <v>12020</v>
      </c>
      <c r="Q98" s="72">
        <v>0</v>
      </c>
      <c r="R98" s="72">
        <v>4291</v>
      </c>
      <c r="S98" s="72">
        <v>0</v>
      </c>
      <c r="T98" s="72">
        <f t="shared" si="74"/>
        <v>119948</v>
      </c>
      <c r="U98" s="73" t="s">
        <v>348</v>
      </c>
      <c r="V98" s="117"/>
      <c r="W98" s="74"/>
      <c r="X98" s="75">
        <f t="shared" si="66"/>
        <v>5.8459037037436438E-4</v>
      </c>
      <c r="Y98" s="75">
        <f t="shared" si="67"/>
        <v>4.6189708501602264E-5</v>
      </c>
      <c r="Z98" s="75">
        <f t="shared" si="68"/>
        <v>0</v>
      </c>
      <c r="AA98" s="75">
        <f t="shared" si="69"/>
        <v>9.5255040878790667E-6</v>
      </c>
      <c r="AB98" s="75">
        <f t="shared" si="70"/>
        <v>0</v>
      </c>
      <c r="AC98" s="75">
        <f t="shared" si="71"/>
        <v>6.4030558296384568E-4</v>
      </c>
      <c r="AD98" s="75">
        <f t="shared" si="72"/>
        <v>1.2580854455689332E-2</v>
      </c>
      <c r="AE98" s="75">
        <f t="shared" si="75"/>
        <v>8.9863246112066655E-3</v>
      </c>
      <c r="AF98" s="75">
        <f t="shared" si="75"/>
        <v>2.7857606294740666E-3</v>
      </c>
      <c r="AG98" s="75">
        <f t="shared" si="75"/>
        <v>0</v>
      </c>
      <c r="AH98" s="75">
        <f t="shared" si="75"/>
        <v>0.60910506391373609</v>
      </c>
      <c r="AI98" s="75">
        <f t="shared" si="75"/>
        <v>7.201041455113609E-2</v>
      </c>
      <c r="AJ98" s="75">
        <f t="shared" si="75"/>
        <v>0</v>
      </c>
      <c r="AK98" s="75">
        <f t="shared" si="75"/>
        <v>2.5706879271125204E-2</v>
      </c>
      <c r="AL98" s="75">
        <f t="shared" si="75"/>
        <v>0</v>
      </c>
      <c r="AM98" s="75">
        <f t="shared" si="75"/>
        <v>0.71859444297667818</v>
      </c>
      <c r="AN98" s="75"/>
      <c r="AO98" s="75"/>
      <c r="AP98" s="76" t="e">
        <f>+VLOOKUP($A98,#REF!,2,FALSE)</f>
        <v>#REF!</v>
      </c>
    </row>
    <row r="99" spans="1:42" s="77" customFormat="1">
      <c r="A99" s="79" t="s">
        <v>190</v>
      </c>
      <c r="B99" s="72">
        <v>34608.240000000005</v>
      </c>
      <c r="C99" s="92">
        <v>77.44999999999996</v>
      </c>
      <c r="D99" s="92">
        <v>4.5418219999999998</v>
      </c>
      <c r="E99" s="92">
        <v>135.49429999999998</v>
      </c>
      <c r="F99" s="92">
        <v>5.5200000000000031</v>
      </c>
      <c r="G99" s="92">
        <v>0</v>
      </c>
      <c r="H99" s="92">
        <f t="shared" si="73"/>
        <v>223.00612199999995</v>
      </c>
      <c r="I99" s="72">
        <v>4793</v>
      </c>
      <c r="J99" s="72">
        <v>11000</v>
      </c>
      <c r="K99" s="72">
        <f t="shared" si="53"/>
        <v>6207</v>
      </c>
      <c r="L99" s="72">
        <v>2220</v>
      </c>
      <c r="M99" s="72">
        <v>150</v>
      </c>
      <c r="N99" s="72">
        <v>0</v>
      </c>
      <c r="O99" s="72">
        <v>14525</v>
      </c>
      <c r="P99" s="72">
        <v>7900</v>
      </c>
      <c r="Q99" s="72">
        <v>0</v>
      </c>
      <c r="R99" s="72">
        <v>516</v>
      </c>
      <c r="S99" s="72">
        <v>0</v>
      </c>
      <c r="T99" s="72">
        <f t="shared" si="74"/>
        <v>47311</v>
      </c>
      <c r="U99" s="73" t="s">
        <v>348</v>
      </c>
      <c r="V99" s="117"/>
      <c r="W99" s="74"/>
      <c r="X99" s="75">
        <f t="shared" si="66"/>
        <v>2.2379063483147351E-3</v>
      </c>
      <c r="Y99" s="75">
        <f t="shared" si="67"/>
        <v>1.3123527807250526E-4</v>
      </c>
      <c r="Z99" s="75">
        <f t="shared" si="68"/>
        <v>3.9150878519104105E-3</v>
      </c>
      <c r="AA99" s="75">
        <f t="shared" si="69"/>
        <v>1.5949958738150228E-4</v>
      </c>
      <c r="AB99" s="75">
        <f t="shared" si="70"/>
        <v>0</v>
      </c>
      <c r="AC99" s="75">
        <f t="shared" si="71"/>
        <v>6.4437290656791536E-3</v>
      </c>
      <c r="AD99" s="75">
        <f t="shared" si="72"/>
        <v>0.13849302940571376</v>
      </c>
      <c r="AE99" s="75">
        <f t="shared" si="75"/>
        <v>6.4146573186038919E-2</v>
      </c>
      <c r="AF99" s="75">
        <f t="shared" si="75"/>
        <v>4.334227917975603E-3</v>
      </c>
      <c r="AG99" s="75">
        <f t="shared" si="75"/>
        <v>0</v>
      </c>
      <c r="AH99" s="75">
        <f t="shared" si="75"/>
        <v>0.41969773672397087</v>
      </c>
      <c r="AI99" s="75">
        <f t="shared" si="75"/>
        <v>0.22826933701338176</v>
      </c>
      <c r="AJ99" s="75">
        <f t="shared" si="75"/>
        <v>0</v>
      </c>
      <c r="AK99" s="75">
        <f t="shared" si="75"/>
        <v>1.4909744037836074E-2</v>
      </c>
      <c r="AL99" s="75">
        <f t="shared" si="75"/>
        <v>0</v>
      </c>
      <c r="AM99" s="75">
        <f t="shared" si="75"/>
        <v>1.3670443801822916</v>
      </c>
      <c r="AN99" s="75"/>
      <c r="AO99" s="75"/>
      <c r="AP99" s="76" t="e">
        <f>+VLOOKUP($A99,#REF!,2,FALSE)</f>
        <v>#REF!</v>
      </c>
    </row>
    <row r="100" spans="1:42" s="77" customFormat="1">
      <c r="A100" s="78" t="s">
        <v>82</v>
      </c>
      <c r="B100" s="72">
        <v>113763.77</v>
      </c>
      <c r="C100" s="92">
        <v>106.65</v>
      </c>
      <c r="D100" s="92">
        <v>1.8599999999999999</v>
      </c>
      <c r="E100" s="92">
        <v>0</v>
      </c>
      <c r="F100" s="92">
        <v>1</v>
      </c>
      <c r="G100" s="92">
        <v>295.35000000000002</v>
      </c>
      <c r="H100" s="92">
        <f t="shared" si="73"/>
        <v>404.86</v>
      </c>
      <c r="I100" s="72">
        <v>16743</v>
      </c>
      <c r="J100" s="72">
        <v>8104</v>
      </c>
      <c r="K100" s="72">
        <f t="shared" si="53"/>
        <v>-8639</v>
      </c>
      <c r="L100" s="72">
        <v>11941</v>
      </c>
      <c r="M100" s="72">
        <v>221</v>
      </c>
      <c r="N100" s="72">
        <v>0</v>
      </c>
      <c r="O100" s="72">
        <f>129602-55325</f>
        <v>74277</v>
      </c>
      <c r="P100" s="72">
        <v>9632</v>
      </c>
      <c r="Q100" s="72">
        <v>506</v>
      </c>
      <c r="R100" s="72">
        <v>444</v>
      </c>
      <c r="S100" s="72">
        <v>0</v>
      </c>
      <c r="T100" s="72">
        <f t="shared" si="74"/>
        <v>113229</v>
      </c>
      <c r="U100" s="73" t="s">
        <v>348</v>
      </c>
      <c r="V100" s="117"/>
      <c r="W100" s="74"/>
      <c r="X100" s="75">
        <f t="shared" si="66"/>
        <v>9.3746893233232344E-4</v>
      </c>
      <c r="Y100" s="75">
        <f t="shared" si="67"/>
        <v>1.6349669143348534E-5</v>
      </c>
      <c r="Z100" s="75">
        <f t="shared" si="68"/>
        <v>0</v>
      </c>
      <c r="AA100" s="75">
        <f t="shared" si="69"/>
        <v>8.7901447007250203E-6</v>
      </c>
      <c r="AB100" s="75">
        <f t="shared" si="70"/>
        <v>2.5961692373591347E-3</v>
      </c>
      <c r="AC100" s="75">
        <f t="shared" si="71"/>
        <v>3.5587779835355316E-3</v>
      </c>
      <c r="AD100" s="75">
        <f t="shared" si="72"/>
        <v>0.14717339272423902</v>
      </c>
      <c r="AE100" s="75">
        <f t="shared" si="75"/>
        <v>0.10496311787135745</v>
      </c>
      <c r="AF100" s="75">
        <f t="shared" si="75"/>
        <v>1.9426219788602293E-3</v>
      </c>
      <c r="AG100" s="75">
        <f t="shared" si="75"/>
        <v>0</v>
      </c>
      <c r="AH100" s="75">
        <f t="shared" si="75"/>
        <v>0.65290557793575232</v>
      </c>
      <c r="AI100" s="75">
        <f t="shared" si="75"/>
        <v>8.466667375738339E-2</v>
      </c>
      <c r="AJ100" s="75">
        <f t="shared" si="75"/>
        <v>4.44781321856686E-3</v>
      </c>
      <c r="AK100" s="75">
        <f t="shared" si="75"/>
        <v>3.9028242471219089E-3</v>
      </c>
      <c r="AL100" s="75">
        <f t="shared" si="75"/>
        <v>0</v>
      </c>
      <c r="AM100" s="75">
        <f t="shared" si="75"/>
        <v>0.99529929431839326</v>
      </c>
      <c r="AN100" s="75"/>
      <c r="AO100" s="75"/>
      <c r="AP100" s="76" t="e">
        <f>+VLOOKUP($A100,#REF!,2,FALSE)</f>
        <v>#REF!</v>
      </c>
    </row>
    <row r="101" spans="1:42" s="77" customFormat="1">
      <c r="A101" s="78" t="s">
        <v>230</v>
      </c>
      <c r="B101" s="72">
        <v>84607.73000000001</v>
      </c>
      <c r="C101" s="92">
        <v>40.630000000000003</v>
      </c>
      <c r="D101" s="92">
        <v>6.0699999999999994</v>
      </c>
      <c r="E101" s="92">
        <v>0</v>
      </c>
      <c r="F101" s="92">
        <v>0.21</v>
      </c>
      <c r="G101" s="92">
        <v>114.75</v>
      </c>
      <c r="H101" s="92">
        <f t="shared" si="73"/>
        <v>161.66</v>
      </c>
      <c r="I101" s="72">
        <v>50314</v>
      </c>
      <c r="J101" s="72">
        <v>50314</v>
      </c>
      <c r="K101" s="72">
        <f t="shared" si="53"/>
        <v>0</v>
      </c>
      <c r="L101" s="72">
        <v>13397</v>
      </c>
      <c r="M101" s="72">
        <v>0</v>
      </c>
      <c r="N101" s="72">
        <v>0</v>
      </c>
      <c r="O101" s="72">
        <v>3672</v>
      </c>
      <c r="P101" s="72">
        <v>0</v>
      </c>
      <c r="Q101" s="72">
        <v>0</v>
      </c>
      <c r="R101" s="72">
        <v>0</v>
      </c>
      <c r="S101" s="72">
        <v>0</v>
      </c>
      <c r="T101" s="72">
        <f t="shared" si="74"/>
        <v>117697</v>
      </c>
      <c r="U101" s="73" t="s">
        <v>348</v>
      </c>
      <c r="V101" s="117"/>
      <c r="W101" s="74"/>
      <c r="X101" s="75">
        <f t="shared" si="66"/>
        <v>4.8021616937364938E-4</v>
      </c>
      <c r="Y101" s="75">
        <f t="shared" si="67"/>
        <v>7.1742853755797469E-5</v>
      </c>
      <c r="Z101" s="75">
        <f t="shared" si="68"/>
        <v>0</v>
      </c>
      <c r="AA101" s="75">
        <f t="shared" si="69"/>
        <v>2.4820427164279194E-6</v>
      </c>
      <c r="AB101" s="75">
        <f t="shared" si="70"/>
        <v>1.3562590557623989E-3</v>
      </c>
      <c r="AC101" s="75">
        <f t="shared" si="71"/>
        <v>1.9107001216082736E-3</v>
      </c>
      <c r="AD101" s="75">
        <f t="shared" si="72"/>
        <v>0.59467379635406825</v>
      </c>
      <c r="AE101" s="75">
        <f t="shared" si="75"/>
        <v>0.15834250605707065</v>
      </c>
      <c r="AF101" s="75">
        <f t="shared" si="75"/>
        <v>0</v>
      </c>
      <c r="AG101" s="75">
        <f t="shared" si="75"/>
        <v>0</v>
      </c>
      <c r="AH101" s="75">
        <f t="shared" si="75"/>
        <v>4.3400289784396764E-2</v>
      </c>
      <c r="AI101" s="75">
        <f t="shared" si="75"/>
        <v>0</v>
      </c>
      <c r="AJ101" s="75">
        <f t="shared" si="75"/>
        <v>0</v>
      </c>
      <c r="AK101" s="75">
        <f t="shared" si="75"/>
        <v>0</v>
      </c>
      <c r="AL101" s="75">
        <f t="shared" si="75"/>
        <v>0</v>
      </c>
      <c r="AM101" s="75">
        <f t="shared" si="75"/>
        <v>1.391090388549604</v>
      </c>
      <c r="AN101" s="75"/>
      <c r="AO101" s="75"/>
      <c r="AP101" s="76" t="e">
        <f>+VLOOKUP($A101,#REF!,2,FALSE)</f>
        <v>#REF!</v>
      </c>
    </row>
    <row r="102" spans="1:42" s="77" customFormat="1">
      <c r="A102" s="78" t="s">
        <v>88</v>
      </c>
      <c r="B102" s="72">
        <v>340562.5</v>
      </c>
      <c r="C102" s="92">
        <v>251.29</v>
      </c>
      <c r="D102" s="92">
        <v>0.36</v>
      </c>
      <c r="E102" s="92">
        <v>0</v>
      </c>
      <c r="F102" s="92">
        <v>0</v>
      </c>
      <c r="G102" s="92">
        <v>0</v>
      </c>
      <c r="H102" s="92">
        <f t="shared" si="73"/>
        <v>251.65</v>
      </c>
      <c r="I102" s="72">
        <v>245000</v>
      </c>
      <c r="J102" s="72">
        <v>245000</v>
      </c>
      <c r="K102" s="72">
        <f t="shared" si="53"/>
        <v>0</v>
      </c>
      <c r="L102" s="72">
        <v>0</v>
      </c>
      <c r="M102" s="72">
        <v>0</v>
      </c>
      <c r="N102" s="72">
        <v>0</v>
      </c>
      <c r="O102" s="72">
        <v>7313</v>
      </c>
      <c r="P102" s="72">
        <v>10854</v>
      </c>
      <c r="Q102" s="72">
        <v>8550</v>
      </c>
      <c r="R102" s="72">
        <v>1870</v>
      </c>
      <c r="S102" s="72">
        <v>39</v>
      </c>
      <c r="T102" s="72">
        <f t="shared" si="74"/>
        <v>518626</v>
      </c>
      <c r="U102" s="73" t="s">
        <v>348</v>
      </c>
      <c r="V102" s="117"/>
      <c r="W102" s="74"/>
      <c r="X102" s="75">
        <f t="shared" si="66"/>
        <v>7.3786749862360065E-4</v>
      </c>
      <c r="Y102" s="75">
        <f t="shared" si="67"/>
        <v>1.0570746926041474E-6</v>
      </c>
      <c r="Z102" s="75">
        <f t="shared" si="68"/>
        <v>0</v>
      </c>
      <c r="AA102" s="75">
        <f t="shared" si="69"/>
        <v>0</v>
      </c>
      <c r="AB102" s="75">
        <f t="shared" si="70"/>
        <v>0</v>
      </c>
      <c r="AC102" s="75">
        <f t="shared" si="71"/>
        <v>7.389245733162048E-4</v>
      </c>
      <c r="AD102" s="75">
        <f t="shared" si="72"/>
        <v>0.7193980546889337</v>
      </c>
      <c r="AE102" s="75">
        <f t="shared" si="75"/>
        <v>0</v>
      </c>
      <c r="AF102" s="75">
        <f t="shared" si="75"/>
        <v>0</v>
      </c>
      <c r="AG102" s="75">
        <f t="shared" si="75"/>
        <v>0</v>
      </c>
      <c r="AH102" s="75">
        <f t="shared" si="75"/>
        <v>2.1473297852817031E-2</v>
      </c>
      <c r="AI102" s="75">
        <f t="shared" si="75"/>
        <v>3.187080198201505E-2</v>
      </c>
      <c r="AJ102" s="75">
        <f t="shared" si="75"/>
        <v>2.5105523949348504E-2</v>
      </c>
      <c r="AK102" s="75">
        <f t="shared" si="75"/>
        <v>5.4909157643604333E-3</v>
      </c>
      <c r="AL102" s="75">
        <f t="shared" si="75"/>
        <v>1.1451642503211599E-4</v>
      </c>
      <c r="AM102" s="75">
        <f t="shared" si="75"/>
        <v>1.5228511653514407</v>
      </c>
      <c r="AN102" s="75"/>
      <c r="AO102" s="75"/>
      <c r="AP102" s="76" t="e">
        <f>+VLOOKUP($A102,#REF!,2,FALSE)</f>
        <v>#REF!</v>
      </c>
    </row>
    <row r="103" spans="1:42" s="77" customFormat="1">
      <c r="A103" s="79" t="s">
        <v>134</v>
      </c>
      <c r="B103" s="72">
        <v>439375</v>
      </c>
      <c r="C103" s="92">
        <v>200.85857551903842</v>
      </c>
      <c r="D103" s="92">
        <v>0</v>
      </c>
      <c r="E103" s="92">
        <v>0</v>
      </c>
      <c r="F103" s="92">
        <v>13.799999999999983</v>
      </c>
      <c r="G103" s="92">
        <v>0</v>
      </c>
      <c r="H103" s="92">
        <f t="shared" si="73"/>
        <v>214.65857551903841</v>
      </c>
      <c r="I103" s="72">
        <v>306949</v>
      </c>
      <c r="J103" s="72">
        <v>300703</v>
      </c>
      <c r="K103" s="72">
        <f t="shared" si="53"/>
        <v>-6246</v>
      </c>
      <c r="L103" s="72">
        <v>0</v>
      </c>
      <c r="M103" s="72">
        <v>562</v>
      </c>
      <c r="N103" s="72">
        <v>0</v>
      </c>
      <c r="O103" s="72">
        <v>17243</v>
      </c>
      <c r="P103" s="72">
        <v>0</v>
      </c>
      <c r="Q103" s="72">
        <v>24400</v>
      </c>
      <c r="R103" s="72">
        <v>23850</v>
      </c>
      <c r="S103" s="72">
        <v>0</v>
      </c>
      <c r="T103" s="72">
        <f t="shared" si="74"/>
        <v>667461</v>
      </c>
      <c r="U103" s="73" t="s">
        <v>348</v>
      </c>
      <c r="V103" s="117"/>
      <c r="W103" s="74"/>
      <c r="X103" s="75">
        <f t="shared" si="66"/>
        <v>4.5714611782426951E-4</v>
      </c>
      <c r="Y103" s="75">
        <f t="shared" si="67"/>
        <v>0</v>
      </c>
      <c r="Z103" s="75">
        <f t="shared" si="68"/>
        <v>0</v>
      </c>
      <c r="AA103" s="75">
        <f t="shared" si="69"/>
        <v>3.1408250355618738E-5</v>
      </c>
      <c r="AB103" s="75">
        <f t="shared" si="70"/>
        <v>0</v>
      </c>
      <c r="AC103" s="75">
        <f t="shared" si="71"/>
        <v>4.8855436817988825E-4</v>
      </c>
      <c r="AD103" s="75">
        <f t="shared" si="72"/>
        <v>0.69860369843527736</v>
      </c>
      <c r="AE103" s="75">
        <f t="shared" si="75"/>
        <v>0</v>
      </c>
      <c r="AF103" s="75">
        <f t="shared" si="75"/>
        <v>1.2790896159317212E-3</v>
      </c>
      <c r="AG103" s="75">
        <f t="shared" si="75"/>
        <v>0</v>
      </c>
      <c r="AH103" s="75">
        <f t="shared" si="75"/>
        <v>3.9244381223328594E-2</v>
      </c>
      <c r="AI103" s="75">
        <f t="shared" si="75"/>
        <v>0</v>
      </c>
      <c r="AJ103" s="75">
        <f t="shared" si="75"/>
        <v>5.5533428165007115E-2</v>
      </c>
      <c r="AK103" s="75">
        <f t="shared" si="75"/>
        <v>5.4281650071123753E-2</v>
      </c>
      <c r="AL103" s="75">
        <f t="shared" si="75"/>
        <v>0</v>
      </c>
      <c r="AM103" s="75">
        <f t="shared" si="75"/>
        <v>1.5191146514935989</v>
      </c>
      <c r="AN103" s="75"/>
      <c r="AO103" s="75"/>
      <c r="AP103" s="76" t="e">
        <f>+VLOOKUP($A103,#REF!,2,FALSE)</f>
        <v>#REF!</v>
      </c>
    </row>
    <row r="104" spans="1:42" s="77" customFormat="1">
      <c r="A104" s="78" t="s">
        <v>53</v>
      </c>
      <c r="B104" s="72">
        <v>98437.5</v>
      </c>
      <c r="C104" s="92">
        <v>89.54</v>
      </c>
      <c r="D104" s="92">
        <v>0</v>
      </c>
      <c r="E104" s="92">
        <v>0</v>
      </c>
      <c r="F104" s="92">
        <v>0</v>
      </c>
      <c r="G104" s="92">
        <v>0</v>
      </c>
      <c r="H104" s="92">
        <f t="shared" si="73"/>
        <v>89.54</v>
      </c>
      <c r="I104" s="72">
        <v>11300</v>
      </c>
      <c r="J104" s="72">
        <v>11300</v>
      </c>
      <c r="K104" s="72">
        <f t="shared" si="53"/>
        <v>0</v>
      </c>
      <c r="L104" s="72">
        <v>0</v>
      </c>
      <c r="M104" s="72">
        <v>1375</v>
      </c>
      <c r="N104" s="72">
        <v>0</v>
      </c>
      <c r="O104" s="72">
        <v>18097</v>
      </c>
      <c r="P104" s="72">
        <v>0</v>
      </c>
      <c r="Q104" s="72">
        <v>12551</v>
      </c>
      <c r="R104" s="72">
        <v>15754</v>
      </c>
      <c r="S104" s="72">
        <v>0</v>
      </c>
      <c r="T104" s="72">
        <f t="shared" si="74"/>
        <v>70377</v>
      </c>
      <c r="U104" s="73" t="s">
        <v>348</v>
      </c>
      <c r="V104" s="117"/>
      <c r="W104" s="74"/>
      <c r="X104" s="75">
        <f t="shared" si="66"/>
        <v>9.0961269841269852E-4</v>
      </c>
      <c r="Y104" s="75">
        <f t="shared" si="67"/>
        <v>0</v>
      </c>
      <c r="Z104" s="75">
        <f t="shared" si="68"/>
        <v>0</v>
      </c>
      <c r="AA104" s="75">
        <f t="shared" si="69"/>
        <v>0</v>
      </c>
      <c r="AB104" s="75">
        <f t="shared" si="70"/>
        <v>0</v>
      </c>
      <c r="AC104" s="75">
        <f t="shared" si="71"/>
        <v>9.0961269841269852E-4</v>
      </c>
      <c r="AD104" s="75">
        <f t="shared" si="72"/>
        <v>0.11479365079365079</v>
      </c>
      <c r="AE104" s="75">
        <f t="shared" si="75"/>
        <v>0</v>
      </c>
      <c r="AF104" s="75">
        <f t="shared" si="75"/>
        <v>1.3968253968253968E-2</v>
      </c>
      <c r="AG104" s="75">
        <f t="shared" si="75"/>
        <v>0</v>
      </c>
      <c r="AH104" s="75">
        <f t="shared" si="75"/>
        <v>0.18384253968253969</v>
      </c>
      <c r="AI104" s="75">
        <f t="shared" si="75"/>
        <v>0</v>
      </c>
      <c r="AJ104" s="75">
        <f t="shared" si="75"/>
        <v>0.12750222222222221</v>
      </c>
      <c r="AK104" s="75">
        <f t="shared" si="75"/>
        <v>0.16004063492063492</v>
      </c>
      <c r="AL104" s="75">
        <f t="shared" si="75"/>
        <v>0</v>
      </c>
      <c r="AM104" s="75">
        <f t="shared" si="75"/>
        <v>0.71494095238095234</v>
      </c>
      <c r="AN104" s="75"/>
      <c r="AO104" s="75"/>
      <c r="AP104" s="76" t="e">
        <f>+VLOOKUP($A104,#REF!,2,FALSE)</f>
        <v>#REF!</v>
      </c>
    </row>
    <row r="105" spans="1:42" s="77" customFormat="1">
      <c r="A105" s="78" t="s">
        <v>54</v>
      </c>
      <c r="B105" s="72">
        <v>56195.42</v>
      </c>
      <c r="C105" s="92">
        <v>17.098826683231607</v>
      </c>
      <c r="D105" s="92">
        <v>3.6800000000000024</v>
      </c>
      <c r="E105" s="92">
        <v>0</v>
      </c>
      <c r="F105" s="92">
        <v>0</v>
      </c>
      <c r="G105" s="92">
        <v>80.931581246716519</v>
      </c>
      <c r="H105" s="92">
        <f t="shared" si="73"/>
        <v>101.71040792994813</v>
      </c>
      <c r="I105" s="72">
        <v>16000</v>
      </c>
      <c r="J105" s="72">
        <v>15000</v>
      </c>
      <c r="K105" s="72">
        <f t="shared" si="53"/>
        <v>-1000</v>
      </c>
      <c r="L105" s="72">
        <v>2300</v>
      </c>
      <c r="M105" s="72">
        <v>65</v>
      </c>
      <c r="N105" s="72">
        <v>20</v>
      </c>
      <c r="O105" s="72">
        <v>11759</v>
      </c>
      <c r="P105" s="72">
        <v>0</v>
      </c>
      <c r="Q105" s="72">
        <v>240</v>
      </c>
      <c r="R105" s="72">
        <v>0</v>
      </c>
      <c r="S105" s="72">
        <v>7139</v>
      </c>
      <c r="T105" s="72">
        <f t="shared" si="74"/>
        <v>51523</v>
      </c>
      <c r="U105" s="73" t="s">
        <v>348</v>
      </c>
      <c r="V105" s="117"/>
      <c r="W105" s="74"/>
      <c r="X105" s="75">
        <f t="shared" si="66"/>
        <v>3.0427438184876289E-4</v>
      </c>
      <c r="Y105" s="75">
        <f t="shared" si="67"/>
        <v>6.5485763786443855E-5</v>
      </c>
      <c r="Z105" s="75">
        <f t="shared" si="68"/>
        <v>0</v>
      </c>
      <c r="AA105" s="75">
        <f t="shared" si="69"/>
        <v>0</v>
      </c>
      <c r="AB105" s="75">
        <f t="shared" si="70"/>
        <v>1.4401810903222456E-3</v>
      </c>
      <c r="AC105" s="75">
        <f t="shared" si="71"/>
        <v>1.8099412359574524E-3</v>
      </c>
      <c r="AD105" s="75">
        <f t="shared" si="72"/>
        <v>0.28472071211497307</v>
      </c>
      <c r="AE105" s="75">
        <f t="shared" si="75"/>
        <v>4.0928602366527379E-2</v>
      </c>
      <c r="AF105" s="75">
        <f t="shared" si="75"/>
        <v>1.1566778929670782E-3</v>
      </c>
      <c r="AG105" s="75">
        <f t="shared" si="75"/>
        <v>3.5590089014371636E-4</v>
      </c>
      <c r="AH105" s="75">
        <f t="shared" si="75"/>
        <v>0.20925192835999804</v>
      </c>
      <c r="AI105" s="75">
        <f t="shared" si="75"/>
        <v>0</v>
      </c>
      <c r="AJ105" s="75">
        <f t="shared" si="75"/>
        <v>4.2708106817245959E-3</v>
      </c>
      <c r="AK105" s="75">
        <f t="shared" si="75"/>
        <v>0</v>
      </c>
      <c r="AL105" s="75">
        <f t="shared" si="75"/>
        <v>0.12703882273679956</v>
      </c>
      <c r="AM105" s="75">
        <f t="shared" si="75"/>
        <v>0.91685407814373487</v>
      </c>
      <c r="AN105" s="75"/>
      <c r="AO105" s="75"/>
      <c r="AP105" s="76" t="e">
        <f>+VLOOKUP($A105,#REF!,2,FALSE)</f>
        <v>#REF!</v>
      </c>
    </row>
    <row r="106" spans="1:42" s="77" customFormat="1">
      <c r="A106" s="79" t="s">
        <v>87</v>
      </c>
      <c r="B106" s="72">
        <v>18280.2</v>
      </c>
      <c r="C106" s="92">
        <v>10.606425271342417</v>
      </c>
      <c r="D106" s="92">
        <v>9.1999999999999957</v>
      </c>
      <c r="E106" s="92">
        <v>13.4</v>
      </c>
      <c r="F106" s="92">
        <v>0</v>
      </c>
      <c r="G106" s="92">
        <v>9.1999999999999957</v>
      </c>
      <c r="H106" s="92">
        <f t="shared" si="73"/>
        <v>42.406425271342407</v>
      </c>
      <c r="I106" s="72">
        <v>11120</v>
      </c>
      <c r="J106" s="72">
        <v>12089</v>
      </c>
      <c r="K106" s="72">
        <f t="shared" si="53"/>
        <v>969</v>
      </c>
      <c r="L106" s="72">
        <v>0</v>
      </c>
      <c r="M106" s="72">
        <v>0</v>
      </c>
      <c r="N106" s="72">
        <v>0</v>
      </c>
      <c r="O106" s="72">
        <v>5000</v>
      </c>
      <c r="P106" s="72">
        <v>0</v>
      </c>
      <c r="Q106" s="72">
        <v>0</v>
      </c>
      <c r="R106" s="72">
        <v>0</v>
      </c>
      <c r="S106" s="72">
        <v>0</v>
      </c>
      <c r="T106" s="72">
        <f t="shared" si="74"/>
        <v>29178</v>
      </c>
      <c r="U106" s="73" t="s">
        <v>348</v>
      </c>
      <c r="V106" s="117"/>
      <c r="W106" s="74"/>
      <c r="X106" s="75">
        <f t="shared" si="66"/>
        <v>5.8021385276651332E-4</v>
      </c>
      <c r="Y106" s="75">
        <f t="shared" si="67"/>
        <v>5.0327676940077214E-4</v>
      </c>
      <c r="Z106" s="75">
        <f t="shared" si="68"/>
        <v>7.3303355543155981E-4</v>
      </c>
      <c r="AA106" s="75">
        <f t="shared" si="69"/>
        <v>0</v>
      </c>
      <c r="AB106" s="75">
        <f t="shared" si="70"/>
        <v>5.0327676940077214E-4</v>
      </c>
      <c r="AC106" s="75">
        <f t="shared" si="71"/>
        <v>2.3198009469996175E-3</v>
      </c>
      <c r="AD106" s="75">
        <f t="shared" si="72"/>
        <v>0.60830844301484666</v>
      </c>
      <c r="AE106" s="75">
        <f t="shared" si="75"/>
        <v>0</v>
      </c>
      <c r="AF106" s="75">
        <f t="shared" si="75"/>
        <v>0</v>
      </c>
      <c r="AG106" s="75">
        <f t="shared" si="75"/>
        <v>0</v>
      </c>
      <c r="AH106" s="75">
        <f t="shared" si="75"/>
        <v>0.27351998336998501</v>
      </c>
      <c r="AI106" s="75">
        <f t="shared" si="75"/>
        <v>0</v>
      </c>
      <c r="AJ106" s="75">
        <f t="shared" si="75"/>
        <v>0</v>
      </c>
      <c r="AK106" s="75">
        <f t="shared" si="75"/>
        <v>0</v>
      </c>
      <c r="AL106" s="75">
        <f t="shared" si="75"/>
        <v>0</v>
      </c>
      <c r="AM106" s="75">
        <f t="shared" si="75"/>
        <v>1.5961532149538844</v>
      </c>
      <c r="AN106" s="75"/>
      <c r="AO106" s="75"/>
      <c r="AP106" s="76" t="e">
        <f>+VLOOKUP($A106,#REF!,2,FALSE)</f>
        <v>#REF!</v>
      </c>
    </row>
    <row r="107" spans="1:42" s="77" customFormat="1">
      <c r="A107" s="79" t="s">
        <v>191</v>
      </c>
      <c r="B107" s="72">
        <v>146375</v>
      </c>
      <c r="C107" s="92">
        <v>39.46</v>
      </c>
      <c r="D107" s="92">
        <v>5.01</v>
      </c>
      <c r="E107" s="92">
        <v>48.13</v>
      </c>
      <c r="F107" s="92">
        <v>5.01</v>
      </c>
      <c r="G107" s="92">
        <v>23</v>
      </c>
      <c r="H107" s="92">
        <f t="shared" si="73"/>
        <v>120.61</v>
      </c>
      <c r="I107" s="72">
        <v>0</v>
      </c>
      <c r="J107" s="72">
        <v>0</v>
      </c>
      <c r="K107" s="72">
        <f t="shared" si="53"/>
        <v>0</v>
      </c>
      <c r="L107" s="72">
        <v>0</v>
      </c>
      <c r="M107" s="72">
        <v>0</v>
      </c>
      <c r="N107" s="72">
        <v>0</v>
      </c>
      <c r="O107" s="72">
        <v>36900</v>
      </c>
      <c r="P107" s="72">
        <v>91000</v>
      </c>
      <c r="Q107" s="72">
        <v>0</v>
      </c>
      <c r="R107" s="72">
        <v>0</v>
      </c>
      <c r="S107" s="72">
        <v>9100</v>
      </c>
      <c r="T107" s="72">
        <f t="shared" si="74"/>
        <v>137000</v>
      </c>
      <c r="U107" s="73" t="s">
        <v>348</v>
      </c>
      <c r="V107" s="117"/>
      <c r="W107" s="74"/>
      <c r="X107" s="75">
        <f t="shared" si="66"/>
        <v>2.6958155422715627E-4</v>
      </c>
      <c r="Y107" s="75">
        <f t="shared" si="67"/>
        <v>3.4227156276686588E-5</v>
      </c>
      <c r="Z107" s="75">
        <f t="shared" si="68"/>
        <v>3.2881298035866783E-4</v>
      </c>
      <c r="AA107" s="75">
        <f t="shared" si="69"/>
        <v>3.4227156276686588E-5</v>
      </c>
      <c r="AB107" s="75">
        <f t="shared" si="70"/>
        <v>1.5713065755764303E-4</v>
      </c>
      <c r="AC107" s="75">
        <f t="shared" si="71"/>
        <v>8.2397950469684028E-4</v>
      </c>
      <c r="AD107" s="75">
        <f t="shared" si="72"/>
        <v>0</v>
      </c>
      <c r="AE107" s="75">
        <f t="shared" si="75"/>
        <v>0</v>
      </c>
      <c r="AF107" s="75">
        <f t="shared" si="75"/>
        <v>0</v>
      </c>
      <c r="AG107" s="75">
        <f t="shared" si="75"/>
        <v>0</v>
      </c>
      <c r="AH107" s="75">
        <f t="shared" si="75"/>
        <v>0.25209222886421861</v>
      </c>
      <c r="AI107" s="75">
        <f t="shared" si="75"/>
        <v>0.62169086251067462</v>
      </c>
      <c r="AJ107" s="75">
        <f t="shared" si="75"/>
        <v>0</v>
      </c>
      <c r="AK107" s="75">
        <f t="shared" si="75"/>
        <v>0</v>
      </c>
      <c r="AL107" s="75">
        <f t="shared" si="75"/>
        <v>6.2169086251067464E-2</v>
      </c>
      <c r="AM107" s="75">
        <f t="shared" si="75"/>
        <v>0.93595217762596072</v>
      </c>
      <c r="AN107" s="75"/>
      <c r="AO107" s="75"/>
      <c r="AP107" s="76" t="e">
        <f>+VLOOKUP($A107,#REF!,2,FALSE)</f>
        <v>#REF!</v>
      </c>
    </row>
    <row r="108" spans="1:42" s="77" customFormat="1">
      <c r="A108" s="80" t="s">
        <v>9</v>
      </c>
      <c r="B108" s="90">
        <f>SUM(B94:B107)</f>
        <v>1876209.4</v>
      </c>
      <c r="C108" s="93">
        <f t="shared" ref="C108:T108" si="76">SUM(C94:C107)</f>
        <v>1264.4403626207941</v>
      </c>
      <c r="D108" s="93">
        <f t="shared" si="76"/>
        <v>99.454021999999995</v>
      </c>
      <c r="E108" s="93">
        <f t="shared" si="76"/>
        <v>212.98429999999999</v>
      </c>
      <c r="F108" s="93">
        <f t="shared" si="76"/>
        <v>53.049999999999983</v>
      </c>
      <c r="G108" s="93">
        <f t="shared" si="76"/>
        <v>523.98158124671659</v>
      </c>
      <c r="H108" s="93">
        <f t="shared" si="76"/>
        <v>2153.9102658675106</v>
      </c>
      <c r="I108" s="90">
        <f t="shared" si="76"/>
        <v>869985</v>
      </c>
      <c r="J108" s="90">
        <f t="shared" si="76"/>
        <v>846286.47</v>
      </c>
      <c r="K108" s="90">
        <f t="shared" si="76"/>
        <v>-23698.53</v>
      </c>
      <c r="L108" s="90">
        <f t="shared" si="76"/>
        <v>37417</v>
      </c>
      <c r="M108" s="90">
        <f t="shared" si="76"/>
        <v>4538</v>
      </c>
      <c r="N108" s="90">
        <f t="shared" si="76"/>
        <v>1140</v>
      </c>
      <c r="O108" s="90">
        <f t="shared" si="76"/>
        <v>309931</v>
      </c>
      <c r="P108" s="90">
        <f t="shared" si="76"/>
        <v>135627</v>
      </c>
      <c r="Q108" s="90">
        <f t="shared" si="76"/>
        <v>68832</v>
      </c>
      <c r="R108" s="90">
        <f t="shared" si="76"/>
        <v>61266</v>
      </c>
      <c r="S108" s="90">
        <f t="shared" si="76"/>
        <v>22919</v>
      </c>
      <c r="T108" s="90">
        <f t="shared" si="76"/>
        <v>2334242.94</v>
      </c>
      <c r="U108" s="91"/>
      <c r="V108" s="117"/>
      <c r="W108" s="74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6"/>
    </row>
    <row r="109" spans="1:42" s="77" customFormat="1">
      <c r="A109" s="81" t="s">
        <v>26</v>
      </c>
      <c r="B109" s="72"/>
      <c r="C109" s="92"/>
      <c r="D109" s="92"/>
      <c r="E109" s="92"/>
      <c r="F109" s="92"/>
      <c r="G109" s="92"/>
      <c r="H109" s="9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3"/>
      <c r="V109" s="117"/>
      <c r="W109" s="74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6"/>
    </row>
    <row r="110" spans="1:42" s="77" customFormat="1" ht="43.5">
      <c r="A110" s="79" t="s">
        <v>199</v>
      </c>
      <c r="B110" s="72">
        <v>73055</v>
      </c>
      <c r="C110" s="92">
        <v>46.099999999999994</v>
      </c>
      <c r="D110" s="92">
        <v>3.59</v>
      </c>
      <c r="E110" s="92">
        <v>0</v>
      </c>
      <c r="F110" s="92">
        <v>1.1000000000000001</v>
      </c>
      <c r="G110" s="92">
        <v>1.08</v>
      </c>
      <c r="H110" s="92">
        <f>SUM(C110:G110)</f>
        <v>51.87</v>
      </c>
      <c r="I110" s="72">
        <f>21486-731</f>
        <v>20755</v>
      </c>
      <c r="J110" s="72">
        <v>21486</v>
      </c>
      <c r="K110" s="72">
        <f t="shared" si="53"/>
        <v>731</v>
      </c>
      <c r="L110" s="72">
        <v>550</v>
      </c>
      <c r="M110" s="72">
        <v>0</v>
      </c>
      <c r="N110" s="72">
        <v>51750</v>
      </c>
      <c r="O110" s="72">
        <v>0</v>
      </c>
      <c r="P110" s="72">
        <v>0</v>
      </c>
      <c r="Q110" s="72">
        <v>0</v>
      </c>
      <c r="R110" s="72">
        <v>0</v>
      </c>
      <c r="S110" s="72">
        <v>0</v>
      </c>
      <c r="T110" s="72">
        <f>SUM(I110:S110)</f>
        <v>95272</v>
      </c>
      <c r="U110" s="73" t="s">
        <v>352</v>
      </c>
      <c r="V110" s="118"/>
      <c r="W110" s="74"/>
      <c r="X110" s="75">
        <f t="shared" ref="X110:X123" si="77">+C110/$B110</f>
        <v>6.3103141468756412E-4</v>
      </c>
      <c r="Y110" s="75">
        <f t="shared" ref="Y110:Y123" si="78">+D110/$B110</f>
        <v>4.9141058106905751E-5</v>
      </c>
      <c r="Z110" s="75">
        <f t="shared" ref="Z110:Z123" si="79">+E110/$B110</f>
        <v>0</v>
      </c>
      <c r="AA110" s="75">
        <f t="shared" ref="AA110:AA123" si="80">+F110/$B110</f>
        <v>1.5057148723564439E-5</v>
      </c>
      <c r="AB110" s="75">
        <f t="shared" ref="AB110:AB123" si="81">+G110/$B110</f>
        <v>1.4783382383135994E-5</v>
      </c>
      <c r="AC110" s="75">
        <f t="shared" ref="AC110:AC123" si="82">+H110/$B110</f>
        <v>7.100130039011703E-4</v>
      </c>
      <c r="AD110" s="75">
        <f t="shared" ref="AD110:AD123" si="83">+I110/$B110</f>
        <v>0.2841010197796181</v>
      </c>
      <c r="AE110" s="75">
        <f t="shared" si="75"/>
        <v>7.5285743617822184E-3</v>
      </c>
      <c r="AF110" s="75">
        <f t="shared" si="75"/>
        <v>0</v>
      </c>
      <c r="AG110" s="75">
        <f t="shared" si="75"/>
        <v>0.70837040585859967</v>
      </c>
      <c r="AH110" s="75">
        <f t="shared" si="75"/>
        <v>0</v>
      </c>
      <c r="AI110" s="75">
        <f t="shared" si="75"/>
        <v>0</v>
      </c>
      <c r="AJ110" s="75">
        <f t="shared" si="75"/>
        <v>0</v>
      </c>
      <c r="AK110" s="75">
        <f t="shared" si="75"/>
        <v>0</v>
      </c>
      <c r="AL110" s="75">
        <f t="shared" si="75"/>
        <v>0</v>
      </c>
      <c r="AM110" s="75">
        <f t="shared" si="75"/>
        <v>1.3041133392649373</v>
      </c>
      <c r="AN110" s="75"/>
      <c r="AO110" s="75"/>
      <c r="AP110" s="76" t="e">
        <f>+VLOOKUP($A110,#REF!,2,FALSE)</f>
        <v>#REF!</v>
      </c>
    </row>
    <row r="111" spans="1:42" s="77" customFormat="1" ht="43.5">
      <c r="A111" s="79" t="s">
        <v>232</v>
      </c>
      <c r="B111" s="72">
        <v>6292</v>
      </c>
      <c r="C111" s="92">
        <v>4.5839999999999996</v>
      </c>
      <c r="D111" s="92">
        <v>0.47</v>
      </c>
      <c r="E111" s="92">
        <v>0</v>
      </c>
      <c r="F111" s="92">
        <v>0</v>
      </c>
      <c r="G111" s="92">
        <v>0</v>
      </c>
      <c r="H111" s="92">
        <f t="shared" ref="H111:H123" si="84">SUM(C111:G111)</f>
        <v>5.0539999999999994</v>
      </c>
      <c r="I111" s="72">
        <v>1000</v>
      </c>
      <c r="J111" s="72">
        <v>2050</v>
      </c>
      <c r="K111" s="72">
        <f t="shared" si="53"/>
        <v>1050</v>
      </c>
      <c r="L111" s="72">
        <v>2600</v>
      </c>
      <c r="M111" s="72">
        <v>100</v>
      </c>
      <c r="N111" s="72">
        <v>0</v>
      </c>
      <c r="O111" s="72">
        <v>70</v>
      </c>
      <c r="P111" s="72">
        <v>0</v>
      </c>
      <c r="Q111" s="72">
        <v>50</v>
      </c>
      <c r="R111" s="72">
        <v>0</v>
      </c>
      <c r="S111" s="72">
        <v>0</v>
      </c>
      <c r="T111" s="72">
        <f t="shared" ref="T111:T123" si="85">SUM(I111:S111)</f>
        <v>6920</v>
      </c>
      <c r="U111" s="73" t="s">
        <v>352</v>
      </c>
      <c r="V111" s="117"/>
      <c r="W111" s="74"/>
      <c r="X111" s="75">
        <f t="shared" si="77"/>
        <v>7.2854418308963755E-4</v>
      </c>
      <c r="Y111" s="75">
        <f t="shared" si="78"/>
        <v>7.4698029243483783E-5</v>
      </c>
      <c r="Z111" s="75">
        <f t="shared" si="79"/>
        <v>0</v>
      </c>
      <c r="AA111" s="75">
        <f t="shared" si="80"/>
        <v>0</v>
      </c>
      <c r="AB111" s="75">
        <f t="shared" si="81"/>
        <v>0</v>
      </c>
      <c r="AC111" s="75">
        <f t="shared" si="82"/>
        <v>8.0324221233312137E-4</v>
      </c>
      <c r="AD111" s="75">
        <f t="shared" si="83"/>
        <v>0.15893197711379531</v>
      </c>
      <c r="AE111" s="75">
        <f t="shared" si="75"/>
        <v>0.41322314049586778</v>
      </c>
      <c r="AF111" s="75">
        <f t="shared" si="75"/>
        <v>1.5893197711379529E-2</v>
      </c>
      <c r="AG111" s="75">
        <f t="shared" si="75"/>
        <v>0</v>
      </c>
      <c r="AH111" s="75">
        <f t="shared" si="75"/>
        <v>1.112523839796567E-2</v>
      </c>
      <c r="AI111" s="75">
        <f t="shared" si="75"/>
        <v>0</v>
      </c>
      <c r="AJ111" s="75">
        <f t="shared" si="75"/>
        <v>7.9465988556897647E-3</v>
      </c>
      <c r="AK111" s="75">
        <f t="shared" si="75"/>
        <v>0</v>
      </c>
      <c r="AL111" s="75">
        <f t="shared" si="75"/>
        <v>0</v>
      </c>
      <c r="AM111" s="75">
        <f t="shared" si="75"/>
        <v>1.0998092816274634</v>
      </c>
      <c r="AN111" s="75"/>
      <c r="AO111" s="75"/>
      <c r="AP111" s="76" t="e">
        <f>+VLOOKUP($A111,#REF!,2,FALSE)</f>
        <v>#REF!</v>
      </c>
    </row>
    <row r="112" spans="1:42" s="77" customFormat="1" ht="43.5">
      <c r="A112" s="78" t="s">
        <v>166</v>
      </c>
      <c r="B112" s="72">
        <v>80374</v>
      </c>
      <c r="C112" s="92">
        <v>139.80000000000004</v>
      </c>
      <c r="D112" s="92">
        <v>5.0199999999999996</v>
      </c>
      <c r="E112" s="92">
        <v>0</v>
      </c>
      <c r="F112" s="92">
        <v>10.829999999999998</v>
      </c>
      <c r="G112" s="92">
        <v>0</v>
      </c>
      <c r="H112" s="92">
        <f t="shared" si="84"/>
        <v>155.65000000000003</v>
      </c>
      <c r="I112" s="72">
        <f>138974-58600</f>
        <v>80374</v>
      </c>
      <c r="J112" s="72">
        <v>138135</v>
      </c>
      <c r="K112" s="72">
        <f t="shared" si="53"/>
        <v>57761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f t="shared" si="85"/>
        <v>276270</v>
      </c>
      <c r="U112" s="73" t="s">
        <v>352</v>
      </c>
      <c r="V112" s="117"/>
      <c r="W112" s="74"/>
      <c r="X112" s="75">
        <f t="shared" si="77"/>
        <v>1.7393684524846349E-3</v>
      </c>
      <c r="Y112" s="75">
        <f t="shared" si="78"/>
        <v>6.2458008808818764E-5</v>
      </c>
      <c r="Z112" s="75">
        <f t="shared" si="79"/>
        <v>0</v>
      </c>
      <c r="AA112" s="75">
        <f t="shared" si="80"/>
        <v>1.3474506681265084E-4</v>
      </c>
      <c r="AB112" s="75">
        <f t="shared" si="81"/>
        <v>0</v>
      </c>
      <c r="AC112" s="75">
        <f t="shared" si="82"/>
        <v>1.9365715281061044E-3</v>
      </c>
      <c r="AD112" s="75">
        <f t="shared" si="83"/>
        <v>1</v>
      </c>
      <c r="AE112" s="75">
        <f t="shared" si="75"/>
        <v>0</v>
      </c>
      <c r="AF112" s="75">
        <f t="shared" si="75"/>
        <v>0</v>
      </c>
      <c r="AG112" s="75">
        <f t="shared" si="75"/>
        <v>0</v>
      </c>
      <c r="AH112" s="75">
        <f t="shared" si="75"/>
        <v>0</v>
      </c>
      <c r="AI112" s="75">
        <f t="shared" si="75"/>
        <v>0</v>
      </c>
      <c r="AJ112" s="75">
        <f t="shared" si="75"/>
        <v>0</v>
      </c>
      <c r="AK112" s="75">
        <f t="shared" si="75"/>
        <v>0</v>
      </c>
      <c r="AL112" s="75">
        <f t="shared" si="75"/>
        <v>0</v>
      </c>
      <c r="AM112" s="75">
        <f t="shared" si="75"/>
        <v>3.437305596337124</v>
      </c>
      <c r="AN112" s="75"/>
      <c r="AO112" s="75"/>
      <c r="AP112" s="76" t="e">
        <f>+VLOOKUP($A112,#REF!,2,FALSE)</f>
        <v>#REF!</v>
      </c>
    </row>
    <row r="113" spans="1:42" s="77" customFormat="1" ht="43.5">
      <c r="A113" s="78" t="s">
        <v>138</v>
      </c>
      <c r="B113" s="72">
        <v>0</v>
      </c>
      <c r="C113" s="92">
        <v>37.319999999999993</v>
      </c>
      <c r="D113" s="92">
        <v>0</v>
      </c>
      <c r="E113" s="92">
        <v>0</v>
      </c>
      <c r="F113" s="92">
        <v>0</v>
      </c>
      <c r="G113" s="92">
        <v>0</v>
      </c>
      <c r="H113" s="92">
        <f t="shared" si="84"/>
        <v>37.319999999999993</v>
      </c>
      <c r="I113" s="72">
        <v>0</v>
      </c>
      <c r="J113" s="72">
        <v>36000</v>
      </c>
      <c r="K113" s="72">
        <f t="shared" si="53"/>
        <v>36000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0</v>
      </c>
      <c r="T113" s="72">
        <f t="shared" si="85"/>
        <v>72000</v>
      </c>
      <c r="U113" s="73" t="s">
        <v>352</v>
      </c>
      <c r="V113" s="117"/>
      <c r="W113" s="74"/>
      <c r="X113" s="75" t="e">
        <f t="shared" si="77"/>
        <v>#DIV/0!</v>
      </c>
      <c r="Y113" s="75" t="e">
        <f t="shared" si="78"/>
        <v>#DIV/0!</v>
      </c>
      <c r="Z113" s="75" t="e">
        <f t="shared" si="79"/>
        <v>#DIV/0!</v>
      </c>
      <c r="AA113" s="75" t="e">
        <f t="shared" si="80"/>
        <v>#DIV/0!</v>
      </c>
      <c r="AB113" s="75" t="e">
        <f t="shared" si="81"/>
        <v>#DIV/0!</v>
      </c>
      <c r="AC113" s="75" t="e">
        <f t="shared" si="82"/>
        <v>#DIV/0!</v>
      </c>
      <c r="AD113" s="75" t="e">
        <f t="shared" si="83"/>
        <v>#DIV/0!</v>
      </c>
      <c r="AE113" s="75" t="e">
        <f t="shared" si="75"/>
        <v>#DIV/0!</v>
      </c>
      <c r="AF113" s="75" t="e">
        <f t="shared" si="75"/>
        <v>#DIV/0!</v>
      </c>
      <c r="AG113" s="75" t="e">
        <f t="shared" si="75"/>
        <v>#DIV/0!</v>
      </c>
      <c r="AH113" s="75" t="e">
        <f t="shared" si="75"/>
        <v>#DIV/0!</v>
      </c>
      <c r="AI113" s="75" t="e">
        <f t="shared" si="75"/>
        <v>#DIV/0!</v>
      </c>
      <c r="AJ113" s="75" t="e">
        <f t="shared" si="75"/>
        <v>#DIV/0!</v>
      </c>
      <c r="AK113" s="75" t="e">
        <f t="shared" si="75"/>
        <v>#DIV/0!</v>
      </c>
      <c r="AL113" s="75" t="e">
        <f t="shared" si="75"/>
        <v>#DIV/0!</v>
      </c>
      <c r="AM113" s="75" t="e">
        <f t="shared" ref="AM113:AM156" si="86">+T113/$B113</f>
        <v>#DIV/0!</v>
      </c>
      <c r="AN113" s="75"/>
      <c r="AO113" s="75"/>
      <c r="AP113" s="76" t="e">
        <f>+VLOOKUP($A113,#REF!,2,FALSE)</f>
        <v>#REF!</v>
      </c>
    </row>
    <row r="114" spans="1:42" s="77" customFormat="1" ht="43.5">
      <c r="A114" s="78" t="s">
        <v>111</v>
      </c>
      <c r="B114" s="72">
        <v>251375</v>
      </c>
      <c r="C114" s="92">
        <v>285.35999999999996</v>
      </c>
      <c r="D114" s="92">
        <v>1.25</v>
      </c>
      <c r="E114" s="92">
        <v>0</v>
      </c>
      <c r="F114" s="92">
        <v>0</v>
      </c>
      <c r="G114" s="92">
        <v>0</v>
      </c>
      <c r="H114" s="92">
        <f t="shared" si="84"/>
        <v>286.60999999999996</v>
      </c>
      <c r="I114" s="72">
        <v>233400</v>
      </c>
      <c r="J114" s="72">
        <v>233600</v>
      </c>
      <c r="K114" s="72">
        <f t="shared" si="53"/>
        <v>200</v>
      </c>
      <c r="L114" s="72">
        <v>0</v>
      </c>
      <c r="M114" s="72">
        <v>0</v>
      </c>
      <c r="N114" s="72">
        <v>0</v>
      </c>
      <c r="O114" s="72">
        <v>2740</v>
      </c>
      <c r="P114" s="72">
        <v>445</v>
      </c>
      <c r="Q114" s="72">
        <v>740</v>
      </c>
      <c r="R114" s="72">
        <v>15</v>
      </c>
      <c r="S114" s="72">
        <v>460</v>
      </c>
      <c r="T114" s="72">
        <f t="shared" si="85"/>
        <v>471600</v>
      </c>
      <c r="U114" s="73" t="s">
        <v>352</v>
      </c>
      <c r="V114" s="117"/>
      <c r="W114" s="74"/>
      <c r="X114" s="75">
        <f t="shared" si="77"/>
        <v>1.1351964196916955E-3</v>
      </c>
      <c r="Y114" s="75">
        <f t="shared" si="78"/>
        <v>4.9726504226752858E-6</v>
      </c>
      <c r="Z114" s="75">
        <f t="shared" si="79"/>
        <v>0</v>
      </c>
      <c r="AA114" s="75">
        <f t="shared" si="80"/>
        <v>0</v>
      </c>
      <c r="AB114" s="75">
        <f t="shared" si="81"/>
        <v>0</v>
      </c>
      <c r="AC114" s="75">
        <f t="shared" si="82"/>
        <v>1.1401690701143708E-3</v>
      </c>
      <c r="AD114" s="75">
        <f t="shared" si="83"/>
        <v>0.92849328692192934</v>
      </c>
      <c r="AE114" s="75">
        <f t="shared" ref="AE114:AL132" si="87">+L114/$B114</f>
        <v>0</v>
      </c>
      <c r="AF114" s="75">
        <f t="shared" si="87"/>
        <v>0</v>
      </c>
      <c r="AG114" s="75">
        <f t="shared" si="87"/>
        <v>0</v>
      </c>
      <c r="AH114" s="75">
        <f t="shared" si="87"/>
        <v>1.0900049726504227E-2</v>
      </c>
      <c r="AI114" s="75">
        <f t="shared" si="87"/>
        <v>1.7702635504724018E-3</v>
      </c>
      <c r="AJ114" s="75">
        <f t="shared" si="87"/>
        <v>2.9438090502237691E-3</v>
      </c>
      <c r="AK114" s="75">
        <f t="shared" si="87"/>
        <v>5.9671805072103429E-5</v>
      </c>
      <c r="AL114" s="75">
        <f t="shared" si="87"/>
        <v>1.8299353555445053E-3</v>
      </c>
      <c r="AM114" s="75">
        <f t="shared" si="86"/>
        <v>1.8760815514669318</v>
      </c>
      <c r="AN114" s="75"/>
      <c r="AO114" s="75"/>
      <c r="AP114" s="76" t="e">
        <f>+VLOOKUP($A114,#REF!,2,FALSE)</f>
        <v>#REF!</v>
      </c>
    </row>
    <row r="115" spans="1:42" s="77" customFormat="1" ht="43.5">
      <c r="A115" s="78" t="s">
        <v>64</v>
      </c>
      <c r="B115" s="72">
        <v>281188</v>
      </c>
      <c r="C115" s="92">
        <v>313.72319999999996</v>
      </c>
      <c r="D115" s="92">
        <v>1.65</v>
      </c>
      <c r="E115" s="92">
        <v>0.28999999999999998</v>
      </c>
      <c r="F115" s="92">
        <v>0</v>
      </c>
      <c r="G115" s="92">
        <v>0</v>
      </c>
      <c r="H115" s="92">
        <f t="shared" si="84"/>
        <v>315.66319999999996</v>
      </c>
      <c r="I115" s="72">
        <v>247500</v>
      </c>
      <c r="J115" s="72">
        <v>247628</v>
      </c>
      <c r="K115" s="72">
        <f t="shared" si="53"/>
        <v>128</v>
      </c>
      <c r="L115" s="72">
        <v>0</v>
      </c>
      <c r="M115" s="72">
        <v>0</v>
      </c>
      <c r="N115" s="72">
        <v>9291</v>
      </c>
      <c r="O115" s="72">
        <v>2347</v>
      </c>
      <c r="P115" s="72">
        <v>64</v>
      </c>
      <c r="Q115" s="72">
        <v>313</v>
      </c>
      <c r="R115" s="72">
        <v>0</v>
      </c>
      <c r="S115" s="72">
        <v>1921</v>
      </c>
      <c r="T115" s="72">
        <f t="shared" si="85"/>
        <v>509192</v>
      </c>
      <c r="U115" s="73" t="s">
        <v>352</v>
      </c>
      <c r="V115" s="117"/>
      <c r="W115" s="74"/>
      <c r="X115" s="75">
        <f t="shared" si="77"/>
        <v>1.1157062179040357E-3</v>
      </c>
      <c r="Y115" s="75">
        <f t="shared" si="78"/>
        <v>5.8679602258986863E-6</v>
      </c>
      <c r="Z115" s="75">
        <f t="shared" si="79"/>
        <v>1.0313384639458299E-6</v>
      </c>
      <c r="AA115" s="75">
        <f t="shared" si="80"/>
        <v>0</v>
      </c>
      <c r="AB115" s="75">
        <f t="shared" si="81"/>
        <v>0</v>
      </c>
      <c r="AC115" s="75">
        <f t="shared" si="82"/>
        <v>1.1226055165938801E-3</v>
      </c>
      <c r="AD115" s="75">
        <f t="shared" si="83"/>
        <v>0.880194033884803</v>
      </c>
      <c r="AE115" s="75">
        <f t="shared" si="87"/>
        <v>0</v>
      </c>
      <c r="AF115" s="75">
        <f t="shared" si="87"/>
        <v>0</v>
      </c>
      <c r="AG115" s="75">
        <f t="shared" si="87"/>
        <v>3.3041950581105879E-2</v>
      </c>
      <c r="AH115" s="75">
        <f t="shared" si="87"/>
        <v>8.3467288788995255E-3</v>
      </c>
      <c r="AI115" s="75">
        <f t="shared" si="87"/>
        <v>2.2760572997425211E-4</v>
      </c>
      <c r="AJ115" s="75">
        <f t="shared" si="87"/>
        <v>1.1131342731553267E-3</v>
      </c>
      <c r="AK115" s="75">
        <f t="shared" si="87"/>
        <v>0</v>
      </c>
      <c r="AL115" s="75">
        <f t="shared" si="87"/>
        <v>6.8317282387584111E-3</v>
      </c>
      <c r="AM115" s="75">
        <f t="shared" si="86"/>
        <v>1.8108596383913964</v>
      </c>
      <c r="AN115" s="75"/>
      <c r="AO115" s="75"/>
      <c r="AP115" s="76" t="e">
        <f>+VLOOKUP($A115,#REF!,2,FALSE)</f>
        <v>#REF!</v>
      </c>
    </row>
    <row r="116" spans="1:42" s="77" customFormat="1" ht="43.5">
      <c r="A116" s="78" t="s">
        <v>201</v>
      </c>
      <c r="B116" s="72">
        <v>212750</v>
      </c>
      <c r="C116" s="92">
        <v>255.5652</v>
      </c>
      <c r="D116" s="92">
        <v>5.9</v>
      </c>
      <c r="E116" s="92">
        <v>0.1</v>
      </c>
      <c r="F116" s="92">
        <v>0</v>
      </c>
      <c r="G116" s="92">
        <v>0</v>
      </c>
      <c r="H116" s="92">
        <f t="shared" si="84"/>
        <v>261.5652</v>
      </c>
      <c r="I116" s="72">
        <f>210100-221</f>
        <v>209879</v>
      </c>
      <c r="J116" s="72">
        <v>215400</v>
      </c>
      <c r="K116" s="72">
        <f t="shared" si="53"/>
        <v>5521</v>
      </c>
      <c r="L116" s="72">
        <v>135</v>
      </c>
      <c r="M116" s="72">
        <v>280</v>
      </c>
      <c r="N116" s="72">
        <v>0</v>
      </c>
      <c r="O116" s="72">
        <v>1293</v>
      </c>
      <c r="P116" s="72">
        <v>0</v>
      </c>
      <c r="Q116" s="72">
        <v>1163</v>
      </c>
      <c r="R116" s="72">
        <v>0</v>
      </c>
      <c r="S116" s="72">
        <v>0</v>
      </c>
      <c r="T116" s="72">
        <f t="shared" si="85"/>
        <v>433671</v>
      </c>
      <c r="U116" s="73" t="s">
        <v>352</v>
      </c>
      <c r="V116" s="117"/>
      <c r="W116" s="74"/>
      <c r="X116" s="75">
        <f t="shared" si="77"/>
        <v>1.2012465334900117E-3</v>
      </c>
      <c r="Y116" s="75">
        <f t="shared" si="78"/>
        <v>2.773207990599295E-5</v>
      </c>
      <c r="Z116" s="75">
        <f t="shared" si="79"/>
        <v>4.700352526439483E-7</v>
      </c>
      <c r="AA116" s="75">
        <f t="shared" si="80"/>
        <v>0</v>
      </c>
      <c r="AB116" s="75">
        <f t="shared" si="81"/>
        <v>0</v>
      </c>
      <c r="AC116" s="75">
        <f t="shared" si="82"/>
        <v>1.2294486486486486E-3</v>
      </c>
      <c r="AD116" s="75">
        <f t="shared" si="83"/>
        <v>0.9865052878965922</v>
      </c>
      <c r="AE116" s="75">
        <f t="shared" si="87"/>
        <v>6.3454759106933015E-4</v>
      </c>
      <c r="AF116" s="75">
        <f t="shared" si="87"/>
        <v>1.3160987074030553E-3</v>
      </c>
      <c r="AG116" s="75">
        <f t="shared" si="87"/>
        <v>0</v>
      </c>
      <c r="AH116" s="75">
        <f t="shared" si="87"/>
        <v>6.0775558166862517E-3</v>
      </c>
      <c r="AI116" s="75">
        <f t="shared" si="87"/>
        <v>0</v>
      </c>
      <c r="AJ116" s="75">
        <f t="shared" si="87"/>
        <v>5.4665099882491184E-3</v>
      </c>
      <c r="AK116" s="75">
        <f t="shared" si="87"/>
        <v>0</v>
      </c>
      <c r="AL116" s="75">
        <f t="shared" si="87"/>
        <v>0</v>
      </c>
      <c r="AM116" s="75">
        <f t="shared" si="86"/>
        <v>2.038406580493537</v>
      </c>
      <c r="AN116" s="75"/>
      <c r="AO116" s="75"/>
      <c r="AP116" s="76" t="e">
        <f>+VLOOKUP($A116,#REF!,2,FALSE)</f>
        <v>#REF!</v>
      </c>
    </row>
    <row r="117" spans="1:42" s="77" customFormat="1" ht="43.5">
      <c r="A117" s="78" t="s">
        <v>234</v>
      </c>
      <c r="B117" s="72">
        <v>162875</v>
      </c>
      <c r="C117" s="92">
        <v>207.61199999999997</v>
      </c>
      <c r="D117" s="92">
        <v>1.641</v>
      </c>
      <c r="E117" s="92">
        <v>1.27</v>
      </c>
      <c r="F117" s="92">
        <v>0</v>
      </c>
      <c r="G117" s="92">
        <v>0</v>
      </c>
      <c r="H117" s="92">
        <f t="shared" si="84"/>
        <v>210.52299999999997</v>
      </c>
      <c r="I117" s="72">
        <f>170010-10135</f>
        <v>159875</v>
      </c>
      <c r="J117" s="72">
        <v>169000</v>
      </c>
      <c r="K117" s="72">
        <f t="shared" si="53"/>
        <v>9125</v>
      </c>
      <c r="L117" s="72">
        <v>3000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f t="shared" si="85"/>
        <v>341000</v>
      </c>
      <c r="U117" s="73" t="s">
        <v>352</v>
      </c>
      <c r="V117" s="117"/>
      <c r="W117" s="74"/>
      <c r="X117" s="75">
        <f t="shared" si="77"/>
        <v>1.274670759785111E-3</v>
      </c>
      <c r="Y117" s="75">
        <f t="shared" si="78"/>
        <v>1.0075211051419801E-5</v>
      </c>
      <c r="Z117" s="75">
        <f t="shared" si="79"/>
        <v>7.7973906369915584E-6</v>
      </c>
      <c r="AA117" s="75">
        <f t="shared" si="80"/>
        <v>0</v>
      </c>
      <c r="AB117" s="75">
        <f t="shared" si="81"/>
        <v>0</v>
      </c>
      <c r="AC117" s="75">
        <f t="shared" si="82"/>
        <v>1.2925433614735225E-3</v>
      </c>
      <c r="AD117" s="75">
        <f t="shared" si="83"/>
        <v>0.98158096699923258</v>
      </c>
      <c r="AE117" s="75">
        <f t="shared" si="87"/>
        <v>1.841903300076746E-2</v>
      </c>
      <c r="AF117" s="75">
        <f t="shared" si="87"/>
        <v>0</v>
      </c>
      <c r="AG117" s="75">
        <f t="shared" si="87"/>
        <v>0</v>
      </c>
      <c r="AH117" s="75">
        <f t="shared" si="87"/>
        <v>0</v>
      </c>
      <c r="AI117" s="75">
        <f t="shared" si="87"/>
        <v>0</v>
      </c>
      <c r="AJ117" s="75">
        <f t="shared" si="87"/>
        <v>0</v>
      </c>
      <c r="AK117" s="75">
        <f t="shared" si="87"/>
        <v>0</v>
      </c>
      <c r="AL117" s="75">
        <f t="shared" si="87"/>
        <v>0</v>
      </c>
      <c r="AM117" s="75">
        <f t="shared" si="86"/>
        <v>2.093630084420568</v>
      </c>
      <c r="AN117" s="75"/>
      <c r="AO117" s="75"/>
      <c r="AP117" s="76" t="e">
        <f>+VLOOKUP($A117,#REF!,2,FALSE)</f>
        <v>#REF!</v>
      </c>
    </row>
    <row r="118" spans="1:42" s="77" customFormat="1" ht="43.5">
      <c r="A118" s="78" t="s">
        <v>238</v>
      </c>
      <c r="B118" s="72">
        <v>402687.5</v>
      </c>
      <c r="C118" s="92">
        <v>485.45639999999992</v>
      </c>
      <c r="D118" s="92">
        <v>0</v>
      </c>
      <c r="E118" s="92">
        <v>0</v>
      </c>
      <c r="F118" s="92">
        <v>0</v>
      </c>
      <c r="G118" s="92">
        <v>0</v>
      </c>
      <c r="H118" s="92">
        <f t="shared" si="84"/>
        <v>485.45639999999992</v>
      </c>
      <c r="I118" s="72">
        <f>397200-1860</f>
        <v>395340</v>
      </c>
      <c r="J118" s="72">
        <v>397313</v>
      </c>
      <c r="K118" s="72">
        <f t="shared" si="53"/>
        <v>1973</v>
      </c>
      <c r="L118" s="72">
        <v>0</v>
      </c>
      <c r="M118" s="72">
        <v>0</v>
      </c>
      <c r="N118" s="72">
        <v>180</v>
      </c>
      <c r="O118" s="72">
        <v>6008</v>
      </c>
      <c r="P118" s="72">
        <v>0</v>
      </c>
      <c r="Q118" s="72">
        <v>1159</v>
      </c>
      <c r="R118" s="72">
        <v>0</v>
      </c>
      <c r="S118" s="72">
        <v>0</v>
      </c>
      <c r="T118" s="72">
        <f t="shared" si="85"/>
        <v>801973</v>
      </c>
      <c r="U118" s="73" t="s">
        <v>352</v>
      </c>
      <c r="V118" s="117"/>
      <c r="W118" s="74"/>
      <c r="X118" s="75">
        <f t="shared" si="77"/>
        <v>1.205541269594909E-3</v>
      </c>
      <c r="Y118" s="75">
        <f t="shared" si="78"/>
        <v>0</v>
      </c>
      <c r="Z118" s="75">
        <f t="shared" si="79"/>
        <v>0</v>
      </c>
      <c r="AA118" s="75">
        <f t="shared" si="80"/>
        <v>0</v>
      </c>
      <c r="AB118" s="75">
        <f t="shared" si="81"/>
        <v>0</v>
      </c>
      <c r="AC118" s="75">
        <f t="shared" si="82"/>
        <v>1.205541269594909E-3</v>
      </c>
      <c r="AD118" s="75">
        <f t="shared" si="83"/>
        <v>0.98175384137823996</v>
      </c>
      <c r="AE118" s="75">
        <f t="shared" si="87"/>
        <v>0</v>
      </c>
      <c r="AF118" s="75">
        <f t="shared" si="87"/>
        <v>0</v>
      </c>
      <c r="AG118" s="75">
        <f t="shared" si="87"/>
        <v>4.4699674064876613E-4</v>
      </c>
      <c r="AH118" s="75">
        <f t="shared" si="87"/>
        <v>1.4919757876765482E-2</v>
      </c>
      <c r="AI118" s="75">
        <f t="shared" si="87"/>
        <v>0</v>
      </c>
      <c r="AJ118" s="75">
        <f t="shared" si="87"/>
        <v>2.8781623467328886E-3</v>
      </c>
      <c r="AK118" s="75">
        <f t="shared" si="87"/>
        <v>0</v>
      </c>
      <c r="AL118" s="75">
        <f t="shared" si="87"/>
        <v>0</v>
      </c>
      <c r="AM118" s="75">
        <f t="shared" si="86"/>
        <v>1.9915517616017384</v>
      </c>
      <c r="AN118" s="75"/>
      <c r="AO118" s="75"/>
      <c r="AP118" s="76" t="e">
        <f>+VLOOKUP($A118,#REF!,2,FALSE)</f>
        <v>#REF!</v>
      </c>
    </row>
    <row r="119" spans="1:42" s="77" customFormat="1" ht="43.5">
      <c r="A119" s="78" t="s">
        <v>233</v>
      </c>
      <c r="B119" s="72">
        <v>143250</v>
      </c>
      <c r="C119" s="92">
        <v>162.35999999999999</v>
      </c>
      <c r="D119" s="92">
        <v>0</v>
      </c>
      <c r="E119" s="92">
        <v>0</v>
      </c>
      <c r="F119" s="92">
        <v>0</v>
      </c>
      <c r="G119" s="92">
        <v>0</v>
      </c>
      <c r="H119" s="92">
        <f t="shared" si="84"/>
        <v>162.35999999999999</v>
      </c>
      <c r="I119" s="72">
        <v>135300</v>
      </c>
      <c r="J119" s="72">
        <v>135300</v>
      </c>
      <c r="K119" s="72">
        <f t="shared" si="53"/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f t="shared" si="85"/>
        <v>270600</v>
      </c>
      <c r="U119" s="73" t="s">
        <v>352</v>
      </c>
      <c r="V119" s="117"/>
      <c r="W119" s="74"/>
      <c r="X119" s="75">
        <f t="shared" si="77"/>
        <v>1.1334031413612565E-3</v>
      </c>
      <c r="Y119" s="75">
        <f t="shared" si="78"/>
        <v>0</v>
      </c>
      <c r="Z119" s="75">
        <f t="shared" si="79"/>
        <v>0</v>
      </c>
      <c r="AA119" s="75">
        <f t="shared" si="80"/>
        <v>0</v>
      </c>
      <c r="AB119" s="75">
        <f t="shared" si="81"/>
        <v>0</v>
      </c>
      <c r="AC119" s="75">
        <f t="shared" si="82"/>
        <v>1.1334031413612565E-3</v>
      </c>
      <c r="AD119" s="75">
        <f t="shared" si="83"/>
        <v>0.94450261780104716</v>
      </c>
      <c r="AE119" s="75">
        <f t="shared" si="87"/>
        <v>0</v>
      </c>
      <c r="AF119" s="75">
        <f t="shared" si="87"/>
        <v>0</v>
      </c>
      <c r="AG119" s="75">
        <f t="shared" si="87"/>
        <v>0</v>
      </c>
      <c r="AH119" s="75">
        <f t="shared" si="87"/>
        <v>0</v>
      </c>
      <c r="AI119" s="75">
        <f t="shared" si="87"/>
        <v>0</v>
      </c>
      <c r="AJ119" s="75">
        <f t="shared" si="87"/>
        <v>0</v>
      </c>
      <c r="AK119" s="75">
        <f t="shared" si="87"/>
        <v>0</v>
      </c>
      <c r="AL119" s="75">
        <f t="shared" si="87"/>
        <v>0</v>
      </c>
      <c r="AM119" s="75">
        <f t="shared" si="86"/>
        <v>1.8890052356020943</v>
      </c>
      <c r="AN119" s="75"/>
      <c r="AO119" s="75"/>
      <c r="AP119" s="76" t="e">
        <f>+VLOOKUP($A119,#REF!,2,FALSE)</f>
        <v>#REF!</v>
      </c>
    </row>
    <row r="120" spans="1:42" s="77" customFormat="1" ht="43.5">
      <c r="A120" s="78" t="s">
        <v>142</v>
      </c>
      <c r="B120" s="72">
        <v>206750</v>
      </c>
      <c r="C120" s="92">
        <v>246.82919999999999</v>
      </c>
      <c r="D120" s="92">
        <v>2.444</v>
      </c>
      <c r="E120" s="92">
        <v>13.188000000000001</v>
      </c>
      <c r="F120" s="92">
        <v>81.56</v>
      </c>
      <c r="G120" s="92">
        <v>0</v>
      </c>
      <c r="H120" s="92">
        <f t="shared" si="84"/>
        <v>344.02119999999996</v>
      </c>
      <c r="I120" s="72">
        <v>128399</v>
      </c>
      <c r="J120" s="72">
        <v>175146</v>
      </c>
      <c r="K120" s="72">
        <f t="shared" si="53"/>
        <v>46747</v>
      </c>
      <c r="L120" s="72">
        <v>1081</v>
      </c>
      <c r="M120" s="72">
        <v>0</v>
      </c>
      <c r="N120" s="72">
        <v>0</v>
      </c>
      <c r="O120" s="72">
        <v>28699</v>
      </c>
      <c r="P120" s="72">
        <v>0</v>
      </c>
      <c r="Q120" s="72">
        <v>1125</v>
      </c>
      <c r="R120" s="72">
        <v>0</v>
      </c>
      <c r="S120" s="72">
        <v>46387</v>
      </c>
      <c r="T120" s="72">
        <f t="shared" si="85"/>
        <v>427584</v>
      </c>
      <c r="U120" s="73" t="s">
        <v>352</v>
      </c>
      <c r="V120" s="117"/>
      <c r="W120" s="74"/>
      <c r="X120" s="75">
        <f t="shared" si="77"/>
        <v>1.1938534461910519E-3</v>
      </c>
      <c r="Y120" s="75">
        <f t="shared" si="78"/>
        <v>1.1821039903264813E-5</v>
      </c>
      <c r="Z120" s="75">
        <f t="shared" si="79"/>
        <v>6.3787182587666264E-5</v>
      </c>
      <c r="AA120" s="75">
        <f t="shared" si="80"/>
        <v>3.9448609431680777E-4</v>
      </c>
      <c r="AB120" s="75">
        <f t="shared" si="81"/>
        <v>0</v>
      </c>
      <c r="AC120" s="75">
        <f t="shared" si="82"/>
        <v>1.6639477629987907E-3</v>
      </c>
      <c r="AD120" s="75">
        <f t="shared" si="83"/>
        <v>0.62103506650544138</v>
      </c>
      <c r="AE120" s="75">
        <f t="shared" si="87"/>
        <v>5.228536880290206E-3</v>
      </c>
      <c r="AF120" s="75">
        <f t="shared" si="87"/>
        <v>0</v>
      </c>
      <c r="AG120" s="75">
        <f t="shared" si="87"/>
        <v>0</v>
      </c>
      <c r="AH120" s="75">
        <f t="shared" si="87"/>
        <v>0.13881015719467957</v>
      </c>
      <c r="AI120" s="75">
        <f t="shared" si="87"/>
        <v>0</v>
      </c>
      <c r="AJ120" s="75">
        <f t="shared" si="87"/>
        <v>5.4413542926239422E-3</v>
      </c>
      <c r="AK120" s="75">
        <f t="shared" si="87"/>
        <v>0</v>
      </c>
      <c r="AL120" s="75">
        <f t="shared" si="87"/>
        <v>0.22436275695284161</v>
      </c>
      <c r="AM120" s="75">
        <f t="shared" si="86"/>
        <v>2.0681209189842806</v>
      </c>
      <c r="AN120" s="75"/>
      <c r="AO120" s="75"/>
      <c r="AP120" s="76" t="e">
        <f>+VLOOKUP($A120,#REF!,2,FALSE)</f>
        <v>#REF!</v>
      </c>
    </row>
    <row r="121" spans="1:42" s="77" customFormat="1" ht="43.5">
      <c r="A121" s="78" t="s">
        <v>140</v>
      </c>
      <c r="B121" s="72">
        <v>199937.5</v>
      </c>
      <c r="C121" s="92">
        <v>131.42999999999998</v>
      </c>
      <c r="D121" s="92">
        <v>0</v>
      </c>
      <c r="E121" s="92">
        <v>0</v>
      </c>
      <c r="F121" s="92">
        <v>0</v>
      </c>
      <c r="G121" s="92">
        <v>0</v>
      </c>
      <c r="H121" s="92">
        <f t="shared" si="84"/>
        <v>131.42999999999998</v>
      </c>
      <c r="I121" s="72">
        <v>108919</v>
      </c>
      <c r="J121" s="72">
        <v>102200</v>
      </c>
      <c r="K121" s="72">
        <f t="shared" si="53"/>
        <v>-6719</v>
      </c>
      <c r="L121" s="72">
        <v>130</v>
      </c>
      <c r="M121" s="72">
        <v>40</v>
      </c>
      <c r="N121" s="72">
        <v>0</v>
      </c>
      <c r="O121" s="72">
        <v>0</v>
      </c>
      <c r="P121" s="72">
        <v>0</v>
      </c>
      <c r="Q121" s="72">
        <v>436</v>
      </c>
      <c r="R121" s="72">
        <v>0</v>
      </c>
      <c r="S121" s="72">
        <v>0</v>
      </c>
      <c r="T121" s="72">
        <f t="shared" si="85"/>
        <v>205006</v>
      </c>
      <c r="U121" s="73" t="s">
        <v>352</v>
      </c>
      <c r="V121" s="117"/>
      <c r="W121" s="74"/>
      <c r="X121" s="75">
        <f t="shared" si="77"/>
        <v>6.5735542356986547E-4</v>
      </c>
      <c r="Y121" s="75">
        <f t="shared" si="78"/>
        <v>0</v>
      </c>
      <c r="Z121" s="75">
        <f t="shared" si="79"/>
        <v>0</v>
      </c>
      <c r="AA121" s="75">
        <f t="shared" si="80"/>
        <v>0</v>
      </c>
      <c r="AB121" s="75">
        <f t="shared" si="81"/>
        <v>0</v>
      </c>
      <c r="AC121" s="75">
        <f t="shared" si="82"/>
        <v>6.5735542356986547E-4</v>
      </c>
      <c r="AD121" s="75">
        <f t="shared" si="83"/>
        <v>0.54476523913723041</v>
      </c>
      <c r="AE121" s="75">
        <f t="shared" si="87"/>
        <v>6.5020318849640514E-4</v>
      </c>
      <c r="AF121" s="75">
        <f t="shared" si="87"/>
        <v>2.0006251953735542E-4</v>
      </c>
      <c r="AG121" s="75">
        <f t="shared" si="87"/>
        <v>0</v>
      </c>
      <c r="AH121" s="75">
        <f t="shared" si="87"/>
        <v>0</v>
      </c>
      <c r="AI121" s="75">
        <f t="shared" si="87"/>
        <v>0</v>
      </c>
      <c r="AJ121" s="75">
        <f t="shared" si="87"/>
        <v>2.1806814629571742E-3</v>
      </c>
      <c r="AK121" s="75">
        <f t="shared" si="87"/>
        <v>0</v>
      </c>
      <c r="AL121" s="75">
        <f t="shared" si="87"/>
        <v>0</v>
      </c>
      <c r="AM121" s="75">
        <f t="shared" si="86"/>
        <v>1.0253504220068772</v>
      </c>
      <c r="AN121" s="75"/>
      <c r="AO121" s="75"/>
      <c r="AP121" s="76" t="e">
        <f>+VLOOKUP($A121,#REF!,2,FALSE)</f>
        <v>#REF!</v>
      </c>
    </row>
    <row r="122" spans="1:42" s="77" customFormat="1" ht="43.5">
      <c r="A122" s="120" t="s">
        <v>200</v>
      </c>
      <c r="B122" s="72">
        <v>125375</v>
      </c>
      <c r="C122" s="92">
        <v>126.77519999999998</v>
      </c>
      <c r="D122" s="92">
        <v>0</v>
      </c>
      <c r="E122" s="92">
        <v>0</v>
      </c>
      <c r="F122" s="92">
        <v>0</v>
      </c>
      <c r="G122" s="92">
        <v>0</v>
      </c>
      <c r="H122" s="92">
        <f t="shared" si="84"/>
        <v>126.77519999999998</v>
      </c>
      <c r="I122" s="72">
        <v>74480</v>
      </c>
      <c r="J122" s="72">
        <v>58860</v>
      </c>
      <c r="K122" s="72">
        <f t="shared" si="53"/>
        <v>-15620</v>
      </c>
      <c r="L122" s="72">
        <v>8178</v>
      </c>
      <c r="M122" s="72">
        <v>3391</v>
      </c>
      <c r="N122" s="72">
        <v>12548</v>
      </c>
      <c r="O122" s="72">
        <v>2850</v>
      </c>
      <c r="P122" s="72">
        <v>3741</v>
      </c>
      <c r="Q122" s="72">
        <v>458</v>
      </c>
      <c r="R122" s="72">
        <v>0</v>
      </c>
      <c r="S122" s="72">
        <v>0</v>
      </c>
      <c r="T122" s="72">
        <f t="shared" si="85"/>
        <v>148886</v>
      </c>
      <c r="U122" s="73" t="s">
        <v>352</v>
      </c>
      <c r="V122" s="117"/>
      <c r="W122" s="74"/>
      <c r="X122" s="75">
        <f t="shared" si="77"/>
        <v>1.0111680957128613E-3</v>
      </c>
      <c r="Y122" s="75">
        <f t="shared" si="78"/>
        <v>0</v>
      </c>
      <c r="Z122" s="75">
        <f t="shared" si="79"/>
        <v>0</v>
      </c>
      <c r="AA122" s="75">
        <f t="shared" si="80"/>
        <v>0</v>
      </c>
      <c r="AB122" s="75">
        <f t="shared" si="81"/>
        <v>0</v>
      </c>
      <c r="AC122" s="75">
        <f t="shared" si="82"/>
        <v>1.0111680957128613E-3</v>
      </c>
      <c r="AD122" s="75">
        <f t="shared" si="83"/>
        <v>0.5940578265204387</v>
      </c>
      <c r="AE122" s="75">
        <f t="shared" si="87"/>
        <v>6.5228315054835492E-2</v>
      </c>
      <c r="AF122" s="75">
        <f t="shared" si="87"/>
        <v>2.7046859421734796E-2</v>
      </c>
      <c r="AG122" s="75">
        <f t="shared" si="87"/>
        <v>0.10008374875373878</v>
      </c>
      <c r="AH122" s="75">
        <f t="shared" si="87"/>
        <v>2.2731804586241276E-2</v>
      </c>
      <c r="AI122" s="75">
        <f t="shared" si="87"/>
        <v>2.9838484546360917E-2</v>
      </c>
      <c r="AJ122" s="75">
        <f t="shared" si="87"/>
        <v>3.6530408773678964E-3</v>
      </c>
      <c r="AK122" s="75">
        <f t="shared" si="87"/>
        <v>0</v>
      </c>
      <c r="AL122" s="75">
        <f t="shared" si="87"/>
        <v>0</v>
      </c>
      <c r="AM122" s="75">
        <f t="shared" si="86"/>
        <v>1.1875254237288135</v>
      </c>
      <c r="AN122" s="75"/>
      <c r="AO122" s="75"/>
      <c r="AP122" s="76" t="e">
        <f>+VLOOKUP($A122,#REF!,2,FALSE)</f>
        <v>#REF!</v>
      </c>
    </row>
    <row r="123" spans="1:42" s="77" customFormat="1" ht="43.5">
      <c r="A123" s="71" t="s">
        <v>141</v>
      </c>
      <c r="B123" s="72">
        <v>126562.5</v>
      </c>
      <c r="C123" s="92">
        <v>120.33239999999999</v>
      </c>
      <c r="D123" s="92">
        <v>0</v>
      </c>
      <c r="E123" s="92">
        <v>0</v>
      </c>
      <c r="F123" s="92">
        <v>0</v>
      </c>
      <c r="G123" s="92">
        <v>0</v>
      </c>
      <c r="H123" s="92">
        <f t="shared" si="84"/>
        <v>120.33239999999999</v>
      </c>
      <c r="I123" s="72">
        <v>100000</v>
      </c>
      <c r="J123" s="72">
        <v>100000</v>
      </c>
      <c r="K123" s="72">
        <f t="shared" si="53"/>
        <v>0</v>
      </c>
      <c r="L123" s="72">
        <v>20</v>
      </c>
      <c r="M123" s="72">
        <v>35</v>
      </c>
      <c r="N123" s="72">
        <v>0</v>
      </c>
      <c r="O123" s="72">
        <v>30</v>
      </c>
      <c r="P123" s="72">
        <v>20</v>
      </c>
      <c r="Q123" s="72">
        <v>457</v>
      </c>
      <c r="R123" s="72">
        <v>0</v>
      </c>
      <c r="S123" s="72">
        <v>0</v>
      </c>
      <c r="T123" s="72">
        <f t="shared" si="85"/>
        <v>200562</v>
      </c>
      <c r="U123" s="73" t="s">
        <v>352</v>
      </c>
      <c r="V123" s="117"/>
      <c r="W123" s="74"/>
      <c r="X123" s="75">
        <f t="shared" si="77"/>
        <v>9.5077451851851842E-4</v>
      </c>
      <c r="Y123" s="75">
        <f t="shared" si="78"/>
        <v>0</v>
      </c>
      <c r="Z123" s="75">
        <f t="shared" si="79"/>
        <v>0</v>
      </c>
      <c r="AA123" s="75">
        <f t="shared" si="80"/>
        <v>0</v>
      </c>
      <c r="AB123" s="75">
        <f t="shared" si="81"/>
        <v>0</v>
      </c>
      <c r="AC123" s="75">
        <f t="shared" si="82"/>
        <v>9.5077451851851842E-4</v>
      </c>
      <c r="AD123" s="75">
        <f t="shared" si="83"/>
        <v>0.79012345679012341</v>
      </c>
      <c r="AE123" s="75">
        <f t="shared" si="87"/>
        <v>1.5802469135802469E-4</v>
      </c>
      <c r="AF123" s="75">
        <f t="shared" si="87"/>
        <v>2.765432098765432E-4</v>
      </c>
      <c r="AG123" s="75">
        <f t="shared" si="87"/>
        <v>0</v>
      </c>
      <c r="AH123" s="75">
        <f t="shared" si="87"/>
        <v>2.3703703703703704E-4</v>
      </c>
      <c r="AI123" s="75">
        <f t="shared" si="87"/>
        <v>1.5802469135802469E-4</v>
      </c>
      <c r="AJ123" s="75">
        <f t="shared" si="87"/>
        <v>3.6108641975308641E-3</v>
      </c>
      <c r="AK123" s="75">
        <f t="shared" si="87"/>
        <v>0</v>
      </c>
      <c r="AL123" s="75">
        <f t="shared" si="87"/>
        <v>0</v>
      </c>
      <c r="AM123" s="75">
        <f t="shared" si="86"/>
        <v>1.5846874074074073</v>
      </c>
      <c r="AN123" s="75"/>
      <c r="AO123" s="75"/>
      <c r="AP123" s="76" t="e">
        <f>+VLOOKUP($A123,#REF!,2,FALSE)</f>
        <v>#REF!</v>
      </c>
    </row>
    <row r="124" spans="1:42" s="77" customFormat="1">
      <c r="A124" s="80" t="s">
        <v>9</v>
      </c>
      <c r="B124" s="90">
        <f>SUM(B110:B123)</f>
        <v>2272471.5</v>
      </c>
      <c r="C124" s="93">
        <f t="shared" ref="C124:T124" si="88">SUM(C110:C123)</f>
        <v>2563.2475999999992</v>
      </c>
      <c r="D124" s="93">
        <f t="shared" si="88"/>
        <v>21.965</v>
      </c>
      <c r="E124" s="93">
        <f t="shared" si="88"/>
        <v>14.848000000000001</v>
      </c>
      <c r="F124" s="93">
        <f t="shared" si="88"/>
        <v>93.49</v>
      </c>
      <c r="G124" s="93">
        <f t="shared" si="88"/>
        <v>1.08</v>
      </c>
      <c r="H124" s="93">
        <f t="shared" si="88"/>
        <v>2694.630599999999</v>
      </c>
      <c r="I124" s="90">
        <f t="shared" si="88"/>
        <v>1895221</v>
      </c>
      <c r="J124" s="90">
        <f t="shared" si="88"/>
        <v>2032118</v>
      </c>
      <c r="K124" s="90">
        <f t="shared" si="88"/>
        <v>136897</v>
      </c>
      <c r="L124" s="90">
        <f t="shared" si="88"/>
        <v>15694</v>
      </c>
      <c r="M124" s="90">
        <f t="shared" si="88"/>
        <v>3846</v>
      </c>
      <c r="N124" s="90">
        <f t="shared" si="88"/>
        <v>73769</v>
      </c>
      <c r="O124" s="90">
        <f t="shared" si="88"/>
        <v>44037</v>
      </c>
      <c r="P124" s="90">
        <f t="shared" si="88"/>
        <v>4270</v>
      </c>
      <c r="Q124" s="90">
        <f t="shared" si="88"/>
        <v>5901</v>
      </c>
      <c r="R124" s="90">
        <f t="shared" si="88"/>
        <v>15</v>
      </c>
      <c r="S124" s="90">
        <f t="shared" si="88"/>
        <v>48768</v>
      </c>
      <c r="T124" s="90">
        <f t="shared" si="88"/>
        <v>4260536</v>
      </c>
      <c r="U124" s="91"/>
      <c r="V124" s="117"/>
      <c r="W124" s="74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6"/>
    </row>
    <row r="125" spans="1:42" s="77" customFormat="1">
      <c r="A125" s="81" t="s">
        <v>27</v>
      </c>
      <c r="B125" s="72"/>
      <c r="C125" s="92"/>
      <c r="D125" s="92"/>
      <c r="E125" s="92"/>
      <c r="F125" s="92"/>
      <c r="G125" s="92"/>
      <c r="H125" s="9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3"/>
      <c r="V125" s="117"/>
      <c r="W125" s="74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6"/>
    </row>
    <row r="126" spans="1:42" s="77" customFormat="1" ht="43.5">
      <c r="A126" s="71" t="s">
        <v>113</v>
      </c>
      <c r="B126" s="72">
        <v>0</v>
      </c>
      <c r="C126" s="92">
        <v>0</v>
      </c>
      <c r="D126" s="92">
        <v>0</v>
      </c>
      <c r="E126" s="92">
        <v>0</v>
      </c>
      <c r="F126" s="92">
        <v>0</v>
      </c>
      <c r="G126" s="92">
        <v>0</v>
      </c>
      <c r="H126" s="92">
        <f>SUM(C126:G126)</f>
        <v>0</v>
      </c>
      <c r="I126" s="72">
        <v>0</v>
      </c>
      <c r="J126" s="72">
        <v>0</v>
      </c>
      <c r="K126" s="72">
        <f t="shared" si="53"/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  <c r="Q126" s="72">
        <v>0</v>
      </c>
      <c r="R126" s="72">
        <v>0</v>
      </c>
      <c r="S126" s="72">
        <v>0</v>
      </c>
      <c r="T126" s="72">
        <f>SUM(I126:S126)</f>
        <v>0</v>
      </c>
      <c r="U126" s="73" t="s">
        <v>352</v>
      </c>
      <c r="V126" s="117"/>
      <c r="W126" s="74"/>
      <c r="X126" s="75" t="e">
        <f t="shared" ref="X126:X137" si="89">+C126/$B126</f>
        <v>#DIV/0!</v>
      </c>
      <c r="Y126" s="75" t="e">
        <f t="shared" ref="Y126:Y137" si="90">+D126/$B126</f>
        <v>#DIV/0!</v>
      </c>
      <c r="Z126" s="75" t="e">
        <f t="shared" ref="Z126:Z137" si="91">+E126/$B126</f>
        <v>#DIV/0!</v>
      </c>
      <c r="AA126" s="75" t="e">
        <f t="shared" ref="AA126:AA137" si="92">+F126/$B126</f>
        <v>#DIV/0!</v>
      </c>
      <c r="AB126" s="75" t="e">
        <f t="shared" ref="AB126:AB137" si="93">+G126/$B126</f>
        <v>#DIV/0!</v>
      </c>
      <c r="AC126" s="75" t="e">
        <f t="shared" ref="AC126:AC137" si="94">+H126/$B126</f>
        <v>#DIV/0!</v>
      </c>
      <c r="AD126" s="75" t="e">
        <f t="shared" ref="AD126:AD137" si="95">+I126/$B126</f>
        <v>#DIV/0!</v>
      </c>
      <c r="AE126" s="75" t="e">
        <f t="shared" si="87"/>
        <v>#DIV/0!</v>
      </c>
      <c r="AF126" s="75" t="e">
        <f t="shared" si="87"/>
        <v>#DIV/0!</v>
      </c>
      <c r="AG126" s="75" t="e">
        <f t="shared" si="87"/>
        <v>#DIV/0!</v>
      </c>
      <c r="AH126" s="75" t="e">
        <f t="shared" si="87"/>
        <v>#DIV/0!</v>
      </c>
      <c r="AI126" s="75" t="e">
        <f t="shared" si="87"/>
        <v>#DIV/0!</v>
      </c>
      <c r="AJ126" s="75" t="e">
        <f t="shared" si="87"/>
        <v>#DIV/0!</v>
      </c>
      <c r="AK126" s="75" t="e">
        <f t="shared" si="87"/>
        <v>#DIV/0!</v>
      </c>
      <c r="AL126" s="75" t="e">
        <f t="shared" si="87"/>
        <v>#DIV/0!</v>
      </c>
      <c r="AM126" s="75" t="e">
        <f t="shared" si="86"/>
        <v>#DIV/0!</v>
      </c>
      <c r="AN126" s="75"/>
      <c r="AO126" s="75"/>
      <c r="AP126" s="76" t="e">
        <f>+VLOOKUP($A126,#REF!,2,FALSE)</f>
        <v>#REF!</v>
      </c>
    </row>
    <row r="127" spans="1:42" s="77" customFormat="1" ht="43.5">
      <c r="A127" s="71" t="s">
        <v>128</v>
      </c>
      <c r="B127" s="72">
        <v>0</v>
      </c>
      <c r="C127" s="92">
        <v>0</v>
      </c>
      <c r="D127" s="92">
        <v>0</v>
      </c>
      <c r="E127" s="92">
        <v>0</v>
      </c>
      <c r="F127" s="92">
        <v>0</v>
      </c>
      <c r="G127" s="92">
        <v>0</v>
      </c>
      <c r="H127" s="92">
        <f t="shared" ref="H127:H137" si="96">SUM(C127:G127)</f>
        <v>0</v>
      </c>
      <c r="I127" s="72">
        <v>0</v>
      </c>
      <c r="J127" s="72">
        <v>0</v>
      </c>
      <c r="K127" s="72">
        <f t="shared" si="53"/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f t="shared" ref="T127:T137" si="97">SUM(I127:S127)</f>
        <v>0</v>
      </c>
      <c r="U127" s="73" t="s">
        <v>352</v>
      </c>
      <c r="V127" s="117"/>
      <c r="W127" s="74"/>
      <c r="X127" s="75" t="e">
        <f t="shared" si="89"/>
        <v>#DIV/0!</v>
      </c>
      <c r="Y127" s="75" t="e">
        <f t="shared" si="90"/>
        <v>#DIV/0!</v>
      </c>
      <c r="Z127" s="75" t="e">
        <f t="shared" si="91"/>
        <v>#DIV/0!</v>
      </c>
      <c r="AA127" s="75" t="e">
        <f t="shared" si="92"/>
        <v>#DIV/0!</v>
      </c>
      <c r="AB127" s="75" t="e">
        <f t="shared" si="93"/>
        <v>#DIV/0!</v>
      </c>
      <c r="AC127" s="75" t="e">
        <f t="shared" si="94"/>
        <v>#DIV/0!</v>
      </c>
      <c r="AD127" s="75" t="e">
        <f t="shared" si="95"/>
        <v>#DIV/0!</v>
      </c>
      <c r="AE127" s="75" t="e">
        <f t="shared" si="87"/>
        <v>#DIV/0!</v>
      </c>
      <c r="AF127" s="75" t="e">
        <f t="shared" si="87"/>
        <v>#DIV/0!</v>
      </c>
      <c r="AG127" s="75" t="e">
        <f t="shared" si="87"/>
        <v>#DIV/0!</v>
      </c>
      <c r="AH127" s="75" t="e">
        <f t="shared" si="87"/>
        <v>#DIV/0!</v>
      </c>
      <c r="AI127" s="75" t="e">
        <f t="shared" si="87"/>
        <v>#DIV/0!</v>
      </c>
      <c r="AJ127" s="75" t="e">
        <f t="shared" si="87"/>
        <v>#DIV/0!</v>
      </c>
      <c r="AK127" s="75" t="e">
        <f t="shared" si="87"/>
        <v>#DIV/0!</v>
      </c>
      <c r="AL127" s="75" t="e">
        <f t="shared" si="87"/>
        <v>#DIV/0!</v>
      </c>
      <c r="AM127" s="75" t="e">
        <f t="shared" si="86"/>
        <v>#DIV/0!</v>
      </c>
      <c r="AN127" s="75"/>
      <c r="AO127" s="75"/>
      <c r="AP127" s="76" t="e">
        <f>+VLOOKUP($A127,#REF!,2,FALSE)</f>
        <v>#REF!</v>
      </c>
    </row>
    <row r="128" spans="1:42" s="77" customFormat="1" ht="43.5">
      <c r="A128" s="71" t="s">
        <v>223</v>
      </c>
      <c r="B128" s="72">
        <v>0</v>
      </c>
      <c r="C128" s="92">
        <v>0</v>
      </c>
      <c r="D128" s="92">
        <v>0</v>
      </c>
      <c r="E128" s="92">
        <v>0</v>
      </c>
      <c r="F128" s="92">
        <v>0</v>
      </c>
      <c r="G128" s="92">
        <v>0</v>
      </c>
      <c r="H128" s="92">
        <f t="shared" si="96"/>
        <v>0</v>
      </c>
      <c r="I128" s="72">
        <v>0</v>
      </c>
      <c r="J128" s="72">
        <v>0</v>
      </c>
      <c r="K128" s="72">
        <f t="shared" si="53"/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f t="shared" si="97"/>
        <v>0</v>
      </c>
      <c r="U128" s="73" t="s">
        <v>352</v>
      </c>
      <c r="V128" s="117"/>
      <c r="W128" s="74"/>
      <c r="X128" s="75" t="e">
        <f t="shared" si="89"/>
        <v>#DIV/0!</v>
      </c>
      <c r="Y128" s="75" t="e">
        <f t="shared" si="90"/>
        <v>#DIV/0!</v>
      </c>
      <c r="Z128" s="75" t="e">
        <f t="shared" si="91"/>
        <v>#DIV/0!</v>
      </c>
      <c r="AA128" s="75" t="e">
        <f t="shared" si="92"/>
        <v>#DIV/0!</v>
      </c>
      <c r="AB128" s="75" t="e">
        <f t="shared" si="93"/>
        <v>#DIV/0!</v>
      </c>
      <c r="AC128" s="75" t="e">
        <f t="shared" si="94"/>
        <v>#DIV/0!</v>
      </c>
      <c r="AD128" s="75" t="e">
        <f t="shared" si="95"/>
        <v>#DIV/0!</v>
      </c>
      <c r="AE128" s="75" t="e">
        <f t="shared" si="87"/>
        <v>#DIV/0!</v>
      </c>
      <c r="AF128" s="75" t="e">
        <f t="shared" si="87"/>
        <v>#DIV/0!</v>
      </c>
      <c r="AG128" s="75" t="e">
        <f t="shared" si="87"/>
        <v>#DIV/0!</v>
      </c>
      <c r="AH128" s="75" t="e">
        <f t="shared" si="87"/>
        <v>#DIV/0!</v>
      </c>
      <c r="AI128" s="75" t="e">
        <f t="shared" si="87"/>
        <v>#DIV/0!</v>
      </c>
      <c r="AJ128" s="75" t="e">
        <f t="shared" si="87"/>
        <v>#DIV/0!</v>
      </c>
      <c r="AK128" s="75" t="e">
        <f t="shared" si="87"/>
        <v>#DIV/0!</v>
      </c>
      <c r="AL128" s="75" t="e">
        <f t="shared" si="87"/>
        <v>#DIV/0!</v>
      </c>
      <c r="AM128" s="75" t="e">
        <f t="shared" si="86"/>
        <v>#DIV/0!</v>
      </c>
      <c r="AN128" s="75"/>
      <c r="AO128" s="75"/>
      <c r="AP128" s="76" t="e">
        <f>+VLOOKUP($A128,#REF!,2,FALSE)</f>
        <v>#REF!</v>
      </c>
    </row>
    <row r="129" spans="1:42" s="77" customFormat="1" ht="43.5">
      <c r="A129" s="71" t="s">
        <v>227</v>
      </c>
      <c r="B129" s="72">
        <v>0</v>
      </c>
      <c r="C129" s="92">
        <v>0</v>
      </c>
      <c r="D129" s="92">
        <v>0</v>
      </c>
      <c r="E129" s="92">
        <v>0</v>
      </c>
      <c r="F129" s="92">
        <v>0</v>
      </c>
      <c r="G129" s="92">
        <v>0</v>
      </c>
      <c r="H129" s="92">
        <f t="shared" si="96"/>
        <v>0</v>
      </c>
      <c r="I129" s="72">
        <v>0</v>
      </c>
      <c r="J129" s="72">
        <v>0</v>
      </c>
      <c r="K129" s="72">
        <f t="shared" si="53"/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f t="shared" si="97"/>
        <v>0</v>
      </c>
      <c r="U129" s="73" t="s">
        <v>352</v>
      </c>
      <c r="V129" s="117"/>
      <c r="W129" s="74"/>
      <c r="X129" s="75" t="e">
        <f t="shared" si="89"/>
        <v>#DIV/0!</v>
      </c>
      <c r="Y129" s="75" t="e">
        <f t="shared" si="90"/>
        <v>#DIV/0!</v>
      </c>
      <c r="Z129" s="75" t="e">
        <f t="shared" si="91"/>
        <v>#DIV/0!</v>
      </c>
      <c r="AA129" s="75" t="e">
        <f t="shared" si="92"/>
        <v>#DIV/0!</v>
      </c>
      <c r="AB129" s="75" t="e">
        <f t="shared" si="93"/>
        <v>#DIV/0!</v>
      </c>
      <c r="AC129" s="75" t="e">
        <f t="shared" si="94"/>
        <v>#DIV/0!</v>
      </c>
      <c r="AD129" s="75" t="e">
        <f t="shared" si="95"/>
        <v>#DIV/0!</v>
      </c>
      <c r="AE129" s="75" t="e">
        <f t="shared" si="87"/>
        <v>#DIV/0!</v>
      </c>
      <c r="AF129" s="75" t="e">
        <f t="shared" si="87"/>
        <v>#DIV/0!</v>
      </c>
      <c r="AG129" s="75" t="e">
        <f t="shared" si="87"/>
        <v>#DIV/0!</v>
      </c>
      <c r="AH129" s="75" t="e">
        <f t="shared" si="87"/>
        <v>#DIV/0!</v>
      </c>
      <c r="AI129" s="75" t="e">
        <f t="shared" si="87"/>
        <v>#DIV/0!</v>
      </c>
      <c r="AJ129" s="75" t="e">
        <f t="shared" si="87"/>
        <v>#DIV/0!</v>
      </c>
      <c r="AK129" s="75" t="e">
        <f t="shared" si="87"/>
        <v>#DIV/0!</v>
      </c>
      <c r="AL129" s="75" t="e">
        <f t="shared" si="87"/>
        <v>#DIV/0!</v>
      </c>
      <c r="AM129" s="75" t="e">
        <f t="shared" si="86"/>
        <v>#DIV/0!</v>
      </c>
      <c r="AN129" s="75"/>
      <c r="AO129" s="75"/>
      <c r="AP129" s="76" t="e">
        <f>+VLOOKUP($A129,#REF!,2,FALSE)</f>
        <v>#REF!</v>
      </c>
    </row>
    <row r="130" spans="1:42" s="77" customFormat="1" ht="43.5">
      <c r="A130" s="71" t="s">
        <v>139</v>
      </c>
      <c r="B130" s="72">
        <v>384062.5</v>
      </c>
      <c r="C130" s="92">
        <v>280.80768901930702</v>
      </c>
      <c r="D130" s="92">
        <v>0</v>
      </c>
      <c r="E130" s="92">
        <v>0</v>
      </c>
      <c r="F130" s="92">
        <v>0</v>
      </c>
      <c r="G130" s="92">
        <v>0</v>
      </c>
      <c r="H130" s="92">
        <f t="shared" si="96"/>
        <v>280.80768901930702</v>
      </c>
      <c r="I130" s="72">
        <v>331770</v>
      </c>
      <c r="J130" s="72">
        <v>327073</v>
      </c>
      <c r="K130" s="72">
        <f t="shared" si="53"/>
        <v>-4697</v>
      </c>
      <c r="L130" s="72">
        <v>1137</v>
      </c>
      <c r="M130" s="72">
        <v>1436</v>
      </c>
      <c r="N130" s="72">
        <v>0</v>
      </c>
      <c r="O130" s="72">
        <v>7546</v>
      </c>
      <c r="P130" s="72">
        <v>0</v>
      </c>
      <c r="Q130" s="72">
        <v>4912</v>
      </c>
      <c r="R130" s="72">
        <v>1192</v>
      </c>
      <c r="S130" s="72">
        <v>0</v>
      </c>
      <c r="T130" s="72">
        <f t="shared" si="97"/>
        <v>670369</v>
      </c>
      <c r="U130" s="73" t="s">
        <v>352</v>
      </c>
      <c r="V130" s="117"/>
      <c r="W130" s="74"/>
      <c r="X130" s="75">
        <f t="shared" si="89"/>
        <v>7.3115102104294753E-4</v>
      </c>
      <c r="Y130" s="75">
        <f t="shared" si="90"/>
        <v>0</v>
      </c>
      <c r="Z130" s="75">
        <f t="shared" si="91"/>
        <v>0</v>
      </c>
      <c r="AA130" s="75">
        <f t="shared" si="92"/>
        <v>0</v>
      </c>
      <c r="AB130" s="75">
        <f t="shared" si="93"/>
        <v>0</v>
      </c>
      <c r="AC130" s="75">
        <f t="shared" si="94"/>
        <v>7.3115102104294753E-4</v>
      </c>
      <c r="AD130" s="75">
        <f t="shared" si="95"/>
        <v>0.86384377542717661</v>
      </c>
      <c r="AE130" s="75">
        <f t="shared" si="87"/>
        <v>2.9604556550040682E-3</v>
      </c>
      <c r="AF130" s="75">
        <f t="shared" si="87"/>
        <v>3.7389747762408463E-3</v>
      </c>
      <c r="AG130" s="75">
        <f t="shared" si="87"/>
        <v>0</v>
      </c>
      <c r="AH130" s="75">
        <f t="shared" si="87"/>
        <v>1.9647843775427176E-2</v>
      </c>
      <c r="AI130" s="75">
        <f t="shared" si="87"/>
        <v>0</v>
      </c>
      <c r="AJ130" s="75">
        <f t="shared" si="87"/>
        <v>1.2789585028478438E-2</v>
      </c>
      <c r="AK130" s="75">
        <f t="shared" si="87"/>
        <v>3.1036615134255492E-3</v>
      </c>
      <c r="AL130" s="75">
        <f t="shared" si="87"/>
        <v>0</v>
      </c>
      <c r="AM130" s="75">
        <f t="shared" si="86"/>
        <v>1.7454685109845403</v>
      </c>
      <c r="AN130" s="75"/>
      <c r="AO130" s="75"/>
      <c r="AP130" s="76" t="e">
        <f>+VLOOKUP($A130,#REF!,2,FALSE)</f>
        <v>#REF!</v>
      </c>
    </row>
    <row r="131" spans="1:42" s="77" customFormat="1" ht="43.5">
      <c r="A131" s="71" t="s">
        <v>114</v>
      </c>
      <c r="B131" s="72">
        <v>382062.5</v>
      </c>
      <c r="C131" s="92">
        <v>326.83</v>
      </c>
      <c r="D131" s="92">
        <v>0</v>
      </c>
      <c r="E131" s="92">
        <v>0</v>
      </c>
      <c r="F131" s="92">
        <v>0</v>
      </c>
      <c r="G131" s="92">
        <v>0</v>
      </c>
      <c r="H131" s="92">
        <f t="shared" si="96"/>
        <v>326.83</v>
      </c>
      <c r="I131" s="72">
        <v>272457</v>
      </c>
      <c r="J131" s="72">
        <v>272975</v>
      </c>
      <c r="K131" s="72">
        <f t="shared" si="53"/>
        <v>518</v>
      </c>
      <c r="L131" s="72">
        <v>45</v>
      </c>
      <c r="M131" s="72">
        <v>5427</v>
      </c>
      <c r="N131" s="72">
        <v>0</v>
      </c>
      <c r="O131" s="72">
        <v>16349</v>
      </c>
      <c r="P131" s="72">
        <v>5625</v>
      </c>
      <c r="Q131" s="72">
        <v>4318</v>
      </c>
      <c r="R131" s="72">
        <v>1420</v>
      </c>
      <c r="S131" s="72">
        <v>1628</v>
      </c>
      <c r="T131" s="72">
        <f t="shared" si="97"/>
        <v>580762</v>
      </c>
      <c r="U131" s="73" t="s">
        <v>352</v>
      </c>
      <c r="V131" s="117"/>
      <c r="W131" s="74"/>
      <c r="X131" s="75">
        <f t="shared" si="89"/>
        <v>8.5543595615900536E-4</v>
      </c>
      <c r="Y131" s="75">
        <f t="shared" si="90"/>
        <v>0</v>
      </c>
      <c r="Z131" s="75">
        <f t="shared" si="91"/>
        <v>0</v>
      </c>
      <c r="AA131" s="75">
        <f t="shared" si="92"/>
        <v>0</v>
      </c>
      <c r="AB131" s="75">
        <f t="shared" si="93"/>
        <v>0</v>
      </c>
      <c r="AC131" s="75">
        <f t="shared" si="94"/>
        <v>8.5543595615900536E-4</v>
      </c>
      <c r="AD131" s="75">
        <f t="shared" si="95"/>
        <v>0.71312154424995911</v>
      </c>
      <c r="AE131" s="75">
        <f t="shared" si="87"/>
        <v>1.1778177654179617E-4</v>
      </c>
      <c r="AF131" s="75">
        <f t="shared" si="87"/>
        <v>1.4204482250940618E-2</v>
      </c>
      <c r="AG131" s="75">
        <f t="shared" si="87"/>
        <v>0</v>
      </c>
      <c r="AH131" s="75">
        <f t="shared" si="87"/>
        <v>4.2791428104040567E-2</v>
      </c>
      <c r="AI131" s="75">
        <f t="shared" si="87"/>
        <v>1.4722722067724521E-2</v>
      </c>
      <c r="AJ131" s="75">
        <f t="shared" si="87"/>
        <v>1.1301815802388353E-2</v>
      </c>
      <c r="AK131" s="75">
        <f t="shared" si="87"/>
        <v>3.716669393096679E-3</v>
      </c>
      <c r="AL131" s="75">
        <f t="shared" si="87"/>
        <v>4.2610829380009818E-3</v>
      </c>
      <c r="AM131" s="75">
        <f t="shared" si="86"/>
        <v>1.5200706690659251</v>
      </c>
      <c r="AN131" s="75"/>
      <c r="AO131" s="75"/>
      <c r="AP131" s="76" t="e">
        <f>+VLOOKUP($A131,#REF!,2,FALSE)</f>
        <v>#REF!</v>
      </c>
    </row>
    <row r="132" spans="1:42" s="77" customFormat="1" ht="43.5">
      <c r="A132" s="71" t="s">
        <v>92</v>
      </c>
      <c r="B132" s="72">
        <v>199000</v>
      </c>
      <c r="C132" s="92">
        <v>209.42</v>
      </c>
      <c r="D132" s="92">
        <v>1.47</v>
      </c>
      <c r="E132" s="92">
        <v>0.18</v>
      </c>
      <c r="F132" s="92">
        <v>12.887</v>
      </c>
      <c r="G132" s="92">
        <v>0</v>
      </c>
      <c r="H132" s="92">
        <f t="shared" si="96"/>
        <v>223.95699999999999</v>
      </c>
      <c r="I132" s="72">
        <v>122200</v>
      </c>
      <c r="J132" s="72">
        <v>150000</v>
      </c>
      <c r="K132" s="72">
        <f t="shared" si="53"/>
        <v>27800</v>
      </c>
      <c r="L132" s="72">
        <v>6270</v>
      </c>
      <c r="M132" s="72">
        <v>5230</v>
      </c>
      <c r="N132" s="72"/>
      <c r="O132" s="72">
        <v>4850</v>
      </c>
      <c r="P132" s="72">
        <v>3070</v>
      </c>
      <c r="Q132" s="72">
        <v>270</v>
      </c>
      <c r="R132" s="72">
        <v>57110</v>
      </c>
      <c r="S132" s="72">
        <v>0</v>
      </c>
      <c r="T132" s="72">
        <f t="shared" si="97"/>
        <v>376800</v>
      </c>
      <c r="U132" s="73" t="s">
        <v>352</v>
      </c>
      <c r="V132" s="117"/>
      <c r="W132" s="74"/>
      <c r="X132" s="75">
        <f t="shared" si="89"/>
        <v>1.0523618090452261E-3</v>
      </c>
      <c r="Y132" s="75">
        <f t="shared" si="90"/>
        <v>7.3869346733668341E-6</v>
      </c>
      <c r="Z132" s="75">
        <f t="shared" si="91"/>
        <v>9.0452261306532663E-7</v>
      </c>
      <c r="AA132" s="75">
        <f t="shared" si="92"/>
        <v>6.475879396984925E-5</v>
      </c>
      <c r="AB132" s="75">
        <f t="shared" si="93"/>
        <v>0</v>
      </c>
      <c r="AC132" s="75">
        <f t="shared" si="94"/>
        <v>1.1254120603015076E-3</v>
      </c>
      <c r="AD132" s="75">
        <f t="shared" si="95"/>
        <v>0.61407035175879399</v>
      </c>
      <c r="AE132" s="75">
        <f t="shared" si="87"/>
        <v>3.1507537688442208E-2</v>
      </c>
      <c r="AF132" s="75">
        <f t="shared" si="87"/>
        <v>2.6281407035175879E-2</v>
      </c>
      <c r="AG132" s="75">
        <f t="shared" si="87"/>
        <v>0</v>
      </c>
      <c r="AH132" s="75">
        <f t="shared" si="87"/>
        <v>2.4371859296482411E-2</v>
      </c>
      <c r="AI132" s="75">
        <f t="shared" si="87"/>
        <v>1.542713567839196E-2</v>
      </c>
      <c r="AJ132" s="75">
        <f t="shared" si="87"/>
        <v>1.3567839195979898E-3</v>
      </c>
      <c r="AK132" s="75">
        <f t="shared" si="87"/>
        <v>0.28698492462311559</v>
      </c>
      <c r="AL132" s="75">
        <f t="shared" si="87"/>
        <v>0</v>
      </c>
      <c r="AM132" s="75">
        <f t="shared" si="86"/>
        <v>1.8934673366834172</v>
      </c>
      <c r="AN132" s="75"/>
      <c r="AO132" s="75"/>
      <c r="AP132" s="76" t="e">
        <f>+VLOOKUP($A132,#REF!,2,FALSE)</f>
        <v>#REF!</v>
      </c>
    </row>
    <row r="133" spans="1:42" s="77" customFormat="1" ht="43.5">
      <c r="A133" s="71" t="s">
        <v>228</v>
      </c>
      <c r="B133" s="72">
        <v>50724.12</v>
      </c>
      <c r="C133" s="92">
        <v>19.439999999999998</v>
      </c>
      <c r="D133" s="92">
        <v>0</v>
      </c>
      <c r="E133" s="92">
        <v>0.02</v>
      </c>
      <c r="F133" s="92">
        <v>12.96</v>
      </c>
      <c r="G133" s="92">
        <v>0</v>
      </c>
      <c r="H133" s="92">
        <f t="shared" si="96"/>
        <v>32.42</v>
      </c>
      <c r="I133" s="72">
        <v>11380</v>
      </c>
      <c r="J133" s="72">
        <v>14179</v>
      </c>
      <c r="K133" s="72">
        <f t="shared" si="53"/>
        <v>2799</v>
      </c>
      <c r="L133" s="72">
        <v>0</v>
      </c>
      <c r="M133" s="72">
        <v>1671</v>
      </c>
      <c r="N133" s="72">
        <v>0</v>
      </c>
      <c r="O133" s="72">
        <v>13000</v>
      </c>
      <c r="P133" s="72">
        <v>4342</v>
      </c>
      <c r="Q133" s="72">
        <v>3343</v>
      </c>
      <c r="R133" s="72">
        <v>188</v>
      </c>
      <c r="S133" s="72">
        <v>0</v>
      </c>
      <c r="T133" s="72">
        <f t="shared" si="97"/>
        <v>50902</v>
      </c>
      <c r="U133" s="73" t="s">
        <v>352</v>
      </c>
      <c r="V133" s="117"/>
      <c r="W133" s="74"/>
      <c r="X133" s="75">
        <f t="shared" si="89"/>
        <v>3.8324962562189343E-4</v>
      </c>
      <c r="Y133" s="75">
        <f t="shared" si="90"/>
        <v>0</v>
      </c>
      <c r="Z133" s="75">
        <f t="shared" si="91"/>
        <v>3.9428973829412909E-7</v>
      </c>
      <c r="AA133" s="75">
        <f t="shared" si="92"/>
        <v>2.5549975041459566E-4</v>
      </c>
      <c r="AB133" s="75">
        <f t="shared" si="93"/>
        <v>0</v>
      </c>
      <c r="AC133" s="75">
        <f t="shared" si="94"/>
        <v>6.3914366577478329E-4</v>
      </c>
      <c r="AD133" s="75">
        <f t="shared" si="95"/>
        <v>0.22435086108935945</v>
      </c>
      <c r="AE133" s="75">
        <f t="shared" ref="AE133:AL151" si="98">+L133/$B133</f>
        <v>0</v>
      </c>
      <c r="AF133" s="75">
        <f t="shared" si="98"/>
        <v>3.2942907634474487E-2</v>
      </c>
      <c r="AG133" s="75">
        <f t="shared" si="98"/>
        <v>0</v>
      </c>
      <c r="AH133" s="75">
        <f t="shared" si="98"/>
        <v>0.25628832989118389</v>
      </c>
      <c r="AI133" s="75">
        <f t="shared" si="98"/>
        <v>8.5600302183655427E-2</v>
      </c>
      <c r="AJ133" s="75">
        <f t="shared" si="98"/>
        <v>6.5905529755863682E-2</v>
      </c>
      <c r="AK133" s="75">
        <f t="shared" si="98"/>
        <v>3.7063235399648134E-3</v>
      </c>
      <c r="AL133" s="75">
        <f t="shared" si="98"/>
        <v>0</v>
      </c>
      <c r="AM133" s="75">
        <f t="shared" si="86"/>
        <v>1.0035068129323879</v>
      </c>
      <c r="AN133" s="75"/>
      <c r="AO133" s="75"/>
      <c r="AP133" s="76" t="e">
        <f>+VLOOKUP($A133,#REF!,2,FALSE)</f>
        <v>#REF!</v>
      </c>
    </row>
    <row r="134" spans="1:42" s="77" customFormat="1" ht="43.5">
      <c r="A134" s="71" t="s">
        <v>144</v>
      </c>
      <c r="B134" s="72">
        <v>291500</v>
      </c>
      <c r="C134" s="92">
        <v>362.65893717600073</v>
      </c>
      <c r="D134" s="92">
        <v>19</v>
      </c>
      <c r="E134" s="92">
        <v>0.6</v>
      </c>
      <c r="F134" s="92">
        <v>2.6999999999999997</v>
      </c>
      <c r="G134" s="92">
        <v>2.6999999999999997</v>
      </c>
      <c r="H134" s="92">
        <f t="shared" si="96"/>
        <v>387.65893717600073</v>
      </c>
      <c r="I134" s="72">
        <v>89750.400000000009</v>
      </c>
      <c r="J134" s="72">
        <v>98897</v>
      </c>
      <c r="K134" s="72">
        <f t="shared" si="53"/>
        <v>9146.5999999999913</v>
      </c>
      <c r="L134" s="72">
        <v>3089</v>
      </c>
      <c r="M134" s="72">
        <v>2517</v>
      </c>
      <c r="N134" s="72">
        <v>0</v>
      </c>
      <c r="O134" s="72">
        <v>57343</v>
      </c>
      <c r="P134" s="72">
        <v>4022</v>
      </c>
      <c r="Q134" s="72">
        <v>2591</v>
      </c>
      <c r="R134" s="72">
        <v>0</v>
      </c>
      <c r="S134" s="72">
        <v>12479</v>
      </c>
      <c r="T134" s="72">
        <f t="shared" si="97"/>
        <v>279835</v>
      </c>
      <c r="U134" s="73" t="s">
        <v>352</v>
      </c>
      <c r="V134" s="117"/>
      <c r="W134" s="74"/>
      <c r="X134" s="75">
        <f t="shared" si="89"/>
        <v>1.2441129920274469E-3</v>
      </c>
      <c r="Y134" s="75">
        <f t="shared" si="90"/>
        <v>6.5180102915951974E-5</v>
      </c>
      <c r="Z134" s="75">
        <f t="shared" si="91"/>
        <v>2.0583190394511149E-6</v>
      </c>
      <c r="AA134" s="75">
        <f t="shared" si="92"/>
        <v>9.2624356775300166E-6</v>
      </c>
      <c r="AB134" s="75">
        <f t="shared" si="93"/>
        <v>9.2624356775300166E-6</v>
      </c>
      <c r="AC134" s="75">
        <f t="shared" si="94"/>
        <v>1.3298762853379098E-3</v>
      </c>
      <c r="AD134" s="75">
        <f t="shared" si="95"/>
        <v>0.30789159519725562</v>
      </c>
      <c r="AE134" s="75">
        <f t="shared" si="98"/>
        <v>1.0596912521440823E-2</v>
      </c>
      <c r="AF134" s="75">
        <f t="shared" si="98"/>
        <v>8.6346483704974279E-3</v>
      </c>
      <c r="AG134" s="75">
        <f t="shared" si="98"/>
        <v>0</v>
      </c>
      <c r="AH134" s="75">
        <f t="shared" si="98"/>
        <v>0.19671698113207547</v>
      </c>
      <c r="AI134" s="75">
        <f t="shared" si="98"/>
        <v>1.3797598627787308E-2</v>
      </c>
      <c r="AJ134" s="75">
        <f t="shared" si="98"/>
        <v>8.8885077186963979E-3</v>
      </c>
      <c r="AK134" s="75">
        <f t="shared" si="98"/>
        <v>0</v>
      </c>
      <c r="AL134" s="75">
        <f t="shared" si="98"/>
        <v>4.2809605488850773E-2</v>
      </c>
      <c r="AM134" s="75">
        <f t="shared" si="86"/>
        <v>0.95998284734133787</v>
      </c>
      <c r="AN134" s="75"/>
      <c r="AO134" s="75"/>
      <c r="AP134" s="76" t="e">
        <f>+VLOOKUP($A134,#REF!,2,FALSE)</f>
        <v>#REF!</v>
      </c>
    </row>
    <row r="135" spans="1:42" s="77" customFormat="1" ht="43.5">
      <c r="A135" s="71" t="s">
        <v>127</v>
      </c>
      <c r="B135" s="72">
        <v>499125</v>
      </c>
      <c r="C135" s="92">
        <v>550.1</v>
      </c>
      <c r="D135" s="92">
        <v>21.2</v>
      </c>
      <c r="E135" s="92">
        <v>3.9</v>
      </c>
      <c r="F135" s="92">
        <v>4</v>
      </c>
      <c r="G135" s="92">
        <v>0</v>
      </c>
      <c r="H135" s="92">
        <f t="shared" si="96"/>
        <v>579.20000000000005</v>
      </c>
      <c r="I135" s="72">
        <v>401721</v>
      </c>
      <c r="J135" s="72">
        <v>408855</v>
      </c>
      <c r="K135" s="72">
        <f t="shared" si="53"/>
        <v>7134</v>
      </c>
      <c r="L135" s="72">
        <v>0</v>
      </c>
      <c r="M135" s="72">
        <v>0</v>
      </c>
      <c r="N135" s="72">
        <v>0</v>
      </c>
      <c r="O135" s="72">
        <v>11493</v>
      </c>
      <c r="P135" s="72">
        <v>0</v>
      </c>
      <c r="Q135" s="72">
        <v>11478</v>
      </c>
      <c r="R135" s="72">
        <v>175</v>
      </c>
      <c r="S135" s="72">
        <v>4001</v>
      </c>
      <c r="T135" s="72">
        <f t="shared" si="97"/>
        <v>844857</v>
      </c>
      <c r="U135" s="73" t="s">
        <v>352</v>
      </c>
      <c r="V135" s="117"/>
      <c r="W135" s="74"/>
      <c r="X135" s="75">
        <f t="shared" si="89"/>
        <v>1.1021287252692212E-3</v>
      </c>
      <c r="Y135" s="75">
        <f t="shared" si="90"/>
        <v>4.2474330077635858E-5</v>
      </c>
      <c r="Z135" s="75">
        <f t="shared" si="91"/>
        <v>7.8136739293764088E-6</v>
      </c>
      <c r="AA135" s="75">
        <f t="shared" si="92"/>
        <v>8.0140245429501627E-6</v>
      </c>
      <c r="AB135" s="75">
        <f t="shared" si="93"/>
        <v>0</v>
      </c>
      <c r="AC135" s="75">
        <f t="shared" si="94"/>
        <v>1.1604307538191836E-3</v>
      </c>
      <c r="AD135" s="75">
        <f t="shared" si="95"/>
        <v>0.80485048835462059</v>
      </c>
      <c r="AE135" s="75">
        <f t="shared" si="98"/>
        <v>0</v>
      </c>
      <c r="AF135" s="75">
        <f t="shared" si="98"/>
        <v>0</v>
      </c>
      <c r="AG135" s="75">
        <f t="shared" si="98"/>
        <v>0</v>
      </c>
      <c r="AH135" s="75">
        <f t="shared" si="98"/>
        <v>2.3026296018031554E-2</v>
      </c>
      <c r="AI135" s="75">
        <f t="shared" si="98"/>
        <v>0</v>
      </c>
      <c r="AJ135" s="75">
        <f t="shared" si="98"/>
        <v>2.2996243425995492E-2</v>
      </c>
      <c r="AK135" s="75">
        <f t="shared" si="98"/>
        <v>3.5061357375406964E-4</v>
      </c>
      <c r="AL135" s="75">
        <f t="shared" si="98"/>
        <v>8.0160280490859E-3</v>
      </c>
      <c r="AM135" s="75">
        <f t="shared" si="86"/>
        <v>1.6926761833208115</v>
      </c>
      <c r="AN135" s="75"/>
      <c r="AO135" s="75"/>
      <c r="AP135" s="76" t="e">
        <f>+VLOOKUP($A135,#REF!,2,FALSE)</f>
        <v>#REF!</v>
      </c>
    </row>
    <row r="136" spans="1:42" s="77" customFormat="1" ht="43.5">
      <c r="A136" s="78" t="s">
        <v>222</v>
      </c>
      <c r="B136" s="72">
        <v>242000</v>
      </c>
      <c r="C136" s="92">
        <v>304.32</v>
      </c>
      <c r="D136" s="92">
        <v>0</v>
      </c>
      <c r="E136" s="92">
        <v>0.24</v>
      </c>
      <c r="F136" s="92">
        <v>10.6</v>
      </c>
      <c r="G136" s="92">
        <v>0</v>
      </c>
      <c r="H136" s="92">
        <f t="shared" si="96"/>
        <v>315.16000000000003</v>
      </c>
      <c r="I136" s="72">
        <v>69746</v>
      </c>
      <c r="J136" s="72">
        <v>69746</v>
      </c>
      <c r="K136" s="72">
        <f t="shared" ref="K136:K199" si="99">J136-I136</f>
        <v>0</v>
      </c>
      <c r="L136" s="72">
        <v>0</v>
      </c>
      <c r="M136" s="72">
        <v>9822</v>
      </c>
      <c r="N136" s="72">
        <v>0</v>
      </c>
      <c r="O136" s="72">
        <v>0</v>
      </c>
      <c r="P136" s="72">
        <v>0</v>
      </c>
      <c r="Q136" s="72">
        <v>99635</v>
      </c>
      <c r="R136" s="72">
        <v>4700</v>
      </c>
      <c r="S136" s="72">
        <v>1435</v>
      </c>
      <c r="T136" s="72">
        <f t="shared" si="97"/>
        <v>255084</v>
      </c>
      <c r="U136" s="73" t="s">
        <v>352</v>
      </c>
      <c r="V136" s="117"/>
      <c r="W136" s="74"/>
      <c r="X136" s="75">
        <f t="shared" si="89"/>
        <v>1.2575206611570248E-3</v>
      </c>
      <c r="Y136" s="75">
        <f t="shared" si="90"/>
        <v>0</v>
      </c>
      <c r="Z136" s="75">
        <f t="shared" si="91"/>
        <v>9.9173553719008269E-7</v>
      </c>
      <c r="AA136" s="75">
        <f t="shared" si="92"/>
        <v>4.3801652892561984E-5</v>
      </c>
      <c r="AB136" s="75">
        <f t="shared" si="93"/>
        <v>0</v>
      </c>
      <c r="AC136" s="75">
        <f t="shared" si="94"/>
        <v>1.3023140495867769E-3</v>
      </c>
      <c r="AD136" s="75">
        <f t="shared" si="95"/>
        <v>0.28820661157024796</v>
      </c>
      <c r="AE136" s="75">
        <f t="shared" si="98"/>
        <v>0</v>
      </c>
      <c r="AF136" s="75">
        <f t="shared" si="98"/>
        <v>4.0586776859504133E-2</v>
      </c>
      <c r="AG136" s="75">
        <f t="shared" si="98"/>
        <v>0</v>
      </c>
      <c r="AH136" s="75">
        <f t="shared" si="98"/>
        <v>0</v>
      </c>
      <c r="AI136" s="75">
        <f t="shared" si="98"/>
        <v>0</v>
      </c>
      <c r="AJ136" s="75">
        <f t="shared" si="98"/>
        <v>0.41171487603305784</v>
      </c>
      <c r="AK136" s="75">
        <f t="shared" si="98"/>
        <v>1.9421487603305785E-2</v>
      </c>
      <c r="AL136" s="75">
        <f t="shared" si="98"/>
        <v>5.9297520661157023E-3</v>
      </c>
      <c r="AM136" s="75">
        <f t="shared" si="86"/>
        <v>1.0540661157024793</v>
      </c>
      <c r="AN136" s="75"/>
      <c r="AO136" s="75"/>
      <c r="AP136" s="76" t="e">
        <f>+VLOOKUP($A136,#REF!,2,FALSE)</f>
        <v>#REF!</v>
      </c>
    </row>
    <row r="137" spans="1:42" s="77" customFormat="1" ht="43.5">
      <c r="A137" s="78" t="s">
        <v>55</v>
      </c>
      <c r="B137" s="72">
        <v>404000</v>
      </c>
      <c r="C137" s="92">
        <v>570</v>
      </c>
      <c r="D137" s="92">
        <v>20</v>
      </c>
      <c r="E137" s="92">
        <v>1</v>
      </c>
      <c r="F137" s="92">
        <v>45</v>
      </c>
      <c r="G137" s="92">
        <v>0</v>
      </c>
      <c r="H137" s="92">
        <f t="shared" si="96"/>
        <v>636</v>
      </c>
      <c r="I137" s="72">
        <v>234500</v>
      </c>
      <c r="J137" s="72">
        <v>234500</v>
      </c>
      <c r="K137" s="72">
        <f t="shared" si="99"/>
        <v>0</v>
      </c>
      <c r="L137" s="72">
        <v>0</v>
      </c>
      <c r="M137" s="72">
        <v>0</v>
      </c>
      <c r="N137" s="72">
        <v>0</v>
      </c>
      <c r="O137" s="72">
        <v>8531</v>
      </c>
      <c r="P137" s="72">
        <v>0</v>
      </c>
      <c r="Q137" s="72">
        <v>100907</v>
      </c>
      <c r="R137" s="72">
        <v>48996</v>
      </c>
      <c r="S137" s="72">
        <v>8241</v>
      </c>
      <c r="T137" s="72">
        <f t="shared" si="97"/>
        <v>635675</v>
      </c>
      <c r="U137" s="73" t="s">
        <v>352</v>
      </c>
      <c r="V137" s="117"/>
      <c r="W137" s="74"/>
      <c r="X137" s="75">
        <f t="shared" si="89"/>
        <v>1.4108910891089108E-3</v>
      </c>
      <c r="Y137" s="75">
        <f t="shared" si="90"/>
        <v>4.9504950495049508E-5</v>
      </c>
      <c r="Z137" s="75">
        <f t="shared" si="91"/>
        <v>2.4752475247524753E-6</v>
      </c>
      <c r="AA137" s="75">
        <f t="shared" si="92"/>
        <v>1.1138613861386139E-4</v>
      </c>
      <c r="AB137" s="75">
        <f t="shared" si="93"/>
        <v>0</v>
      </c>
      <c r="AC137" s="75">
        <f t="shared" si="94"/>
        <v>1.5742574257425744E-3</v>
      </c>
      <c r="AD137" s="75">
        <f t="shared" si="95"/>
        <v>0.58044554455445541</v>
      </c>
      <c r="AE137" s="75">
        <f t="shared" si="98"/>
        <v>0</v>
      </c>
      <c r="AF137" s="75">
        <f t="shared" si="98"/>
        <v>0</v>
      </c>
      <c r="AG137" s="75">
        <f t="shared" si="98"/>
        <v>0</v>
      </c>
      <c r="AH137" s="75">
        <f t="shared" si="98"/>
        <v>2.1116336633663368E-2</v>
      </c>
      <c r="AI137" s="75">
        <f t="shared" si="98"/>
        <v>0</v>
      </c>
      <c r="AJ137" s="75">
        <f t="shared" si="98"/>
        <v>0.24976980198019802</v>
      </c>
      <c r="AK137" s="75">
        <f t="shared" si="98"/>
        <v>0.12127722772277227</v>
      </c>
      <c r="AL137" s="75">
        <f t="shared" si="98"/>
        <v>2.0398514851485149E-2</v>
      </c>
      <c r="AM137" s="75">
        <f t="shared" si="86"/>
        <v>1.5734529702970297</v>
      </c>
      <c r="AN137" s="75"/>
      <c r="AO137" s="75"/>
      <c r="AP137" s="76" t="e">
        <f>+VLOOKUP($A137,#REF!,2,FALSE)</f>
        <v>#REF!</v>
      </c>
    </row>
    <row r="138" spans="1:42" s="77" customFormat="1">
      <c r="A138" s="80" t="s">
        <v>9</v>
      </c>
      <c r="B138" s="90">
        <f>SUM(B126:B137)</f>
        <v>2452474.12</v>
      </c>
      <c r="C138" s="93">
        <f t="shared" ref="C138:T138" si="100">SUM(C126:C137)</f>
        <v>2623.5766261953081</v>
      </c>
      <c r="D138" s="93">
        <f t="shared" si="100"/>
        <v>61.67</v>
      </c>
      <c r="E138" s="93">
        <f t="shared" si="100"/>
        <v>5.94</v>
      </c>
      <c r="F138" s="93">
        <f t="shared" si="100"/>
        <v>88.146999999999991</v>
      </c>
      <c r="G138" s="93">
        <f t="shared" si="100"/>
        <v>2.6999999999999997</v>
      </c>
      <c r="H138" s="93">
        <f t="shared" si="100"/>
        <v>2782.0336261953075</v>
      </c>
      <c r="I138" s="90">
        <f t="shared" si="100"/>
        <v>1533524.4</v>
      </c>
      <c r="J138" s="90">
        <f t="shared" si="100"/>
        <v>1576225</v>
      </c>
      <c r="K138" s="90">
        <f t="shared" si="100"/>
        <v>42700.599999999991</v>
      </c>
      <c r="L138" s="90">
        <f t="shared" si="100"/>
        <v>10541</v>
      </c>
      <c r="M138" s="90">
        <f t="shared" si="100"/>
        <v>26103</v>
      </c>
      <c r="N138" s="90">
        <f t="shared" si="100"/>
        <v>0</v>
      </c>
      <c r="O138" s="90">
        <f t="shared" si="100"/>
        <v>119112</v>
      </c>
      <c r="P138" s="90">
        <f t="shared" si="100"/>
        <v>17059</v>
      </c>
      <c r="Q138" s="90">
        <f t="shared" si="100"/>
        <v>227454</v>
      </c>
      <c r="R138" s="90">
        <f t="shared" si="100"/>
        <v>113781</v>
      </c>
      <c r="S138" s="90">
        <f t="shared" si="100"/>
        <v>27784</v>
      </c>
      <c r="T138" s="90">
        <f t="shared" si="100"/>
        <v>3694284</v>
      </c>
      <c r="U138" s="91"/>
      <c r="V138" s="117"/>
      <c r="W138" s="74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6"/>
    </row>
    <row r="139" spans="1:42" s="77" customFormat="1">
      <c r="A139" s="81" t="s">
        <v>28</v>
      </c>
      <c r="B139" s="72"/>
      <c r="C139" s="92"/>
      <c r="D139" s="92"/>
      <c r="E139" s="92"/>
      <c r="F139" s="92"/>
      <c r="G139" s="92"/>
      <c r="H139" s="9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3"/>
      <c r="V139" s="117"/>
      <c r="W139" s="74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6"/>
    </row>
    <row r="140" spans="1:42" s="77" customFormat="1" ht="43.5">
      <c r="A140" s="78" t="s">
        <v>59</v>
      </c>
      <c r="B140" s="72">
        <v>59264</v>
      </c>
      <c r="C140" s="92">
        <v>46.27807434048021</v>
      </c>
      <c r="D140" s="92">
        <v>1.4720000000000011</v>
      </c>
      <c r="E140" s="92">
        <v>0</v>
      </c>
      <c r="F140" s="92">
        <v>0</v>
      </c>
      <c r="G140" s="92">
        <v>0</v>
      </c>
      <c r="H140" s="92">
        <f>SUM(C140:G140)</f>
        <v>47.750074340480211</v>
      </c>
      <c r="I140" s="72">
        <f>66175-8480</f>
        <v>57695</v>
      </c>
      <c r="J140" s="72">
        <v>57695</v>
      </c>
      <c r="K140" s="72">
        <f t="shared" si="99"/>
        <v>0</v>
      </c>
      <c r="L140" s="72">
        <v>0</v>
      </c>
      <c r="M140" s="72">
        <v>0</v>
      </c>
      <c r="N140" s="72">
        <v>0</v>
      </c>
      <c r="O140" s="72">
        <v>1275</v>
      </c>
      <c r="P140" s="72">
        <v>0</v>
      </c>
      <c r="Q140" s="72">
        <v>294</v>
      </c>
      <c r="R140" s="72">
        <v>0</v>
      </c>
      <c r="S140" s="72">
        <v>0</v>
      </c>
      <c r="T140" s="72">
        <f>SUM(I140:S140)</f>
        <v>116959</v>
      </c>
      <c r="U140" s="73" t="s">
        <v>352</v>
      </c>
      <c r="V140" s="117"/>
      <c r="W140" s="74"/>
      <c r="X140" s="75">
        <f t="shared" ref="X140:X156" si="101">+C140/$B140</f>
        <v>7.8088003409287606E-4</v>
      </c>
      <c r="Y140" s="75">
        <f t="shared" ref="Y140:Y156" si="102">+D140/$B140</f>
        <v>2.4838012958963301E-5</v>
      </c>
      <c r="Z140" s="75">
        <f t="shared" ref="Z140:Z156" si="103">+E140/$B140</f>
        <v>0</v>
      </c>
      <c r="AA140" s="75">
        <f t="shared" ref="AA140:AA156" si="104">+F140/$B140</f>
        <v>0</v>
      </c>
      <c r="AB140" s="75">
        <f t="shared" ref="AB140:AB156" si="105">+G140/$B140</f>
        <v>0</v>
      </c>
      <c r="AC140" s="75">
        <f t="shared" ref="AC140:AC156" si="106">+H140/$B140</f>
        <v>8.0571804705183939E-4</v>
      </c>
      <c r="AD140" s="75">
        <f t="shared" ref="AD140:AD156" si="107">+I140/$B140</f>
        <v>0.97352524298056153</v>
      </c>
      <c r="AE140" s="75">
        <f t="shared" si="98"/>
        <v>0</v>
      </c>
      <c r="AF140" s="75">
        <f t="shared" si="98"/>
        <v>0</v>
      </c>
      <c r="AG140" s="75">
        <f t="shared" si="98"/>
        <v>0</v>
      </c>
      <c r="AH140" s="75">
        <f t="shared" si="98"/>
        <v>2.1513903887688986E-2</v>
      </c>
      <c r="AI140" s="75">
        <f t="shared" si="98"/>
        <v>0</v>
      </c>
      <c r="AJ140" s="75">
        <f t="shared" si="98"/>
        <v>4.9608531317494597E-3</v>
      </c>
      <c r="AK140" s="75">
        <f t="shared" si="98"/>
        <v>0</v>
      </c>
      <c r="AL140" s="75">
        <f t="shared" si="98"/>
        <v>0</v>
      </c>
      <c r="AM140" s="75">
        <f t="shared" si="86"/>
        <v>1.9735252429805616</v>
      </c>
      <c r="AN140" s="75"/>
      <c r="AO140" s="75"/>
      <c r="AP140" s="76" t="e">
        <f>+VLOOKUP($A140,#REF!,2,FALSE)</f>
        <v>#REF!</v>
      </c>
    </row>
    <row r="141" spans="1:42" s="77" customFormat="1" ht="43.5">
      <c r="A141" s="78" t="s">
        <v>269</v>
      </c>
      <c r="B141" s="85">
        <v>0</v>
      </c>
      <c r="C141" s="92">
        <v>64.029238106368794</v>
      </c>
      <c r="D141" s="92">
        <v>0</v>
      </c>
      <c r="E141" s="92">
        <v>0</v>
      </c>
      <c r="F141" s="92">
        <v>0</v>
      </c>
      <c r="G141" s="92">
        <v>0</v>
      </c>
      <c r="H141" s="92">
        <f t="shared" ref="H141:H156" si="108">SUM(C141:G141)</f>
        <v>64.029238106368794</v>
      </c>
      <c r="I141" s="72">
        <v>76538</v>
      </c>
      <c r="J141" s="72">
        <v>0</v>
      </c>
      <c r="K141" s="72">
        <f t="shared" si="99"/>
        <v>-76538</v>
      </c>
      <c r="L141" s="72">
        <v>110</v>
      </c>
      <c r="M141" s="72">
        <v>0</v>
      </c>
      <c r="N141" s="72">
        <v>5800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f t="shared" ref="T141:T156" si="109">SUM(I141:S141)</f>
        <v>5910</v>
      </c>
      <c r="U141" s="73" t="s">
        <v>352</v>
      </c>
      <c r="V141" s="117"/>
      <c r="W141" s="74"/>
      <c r="X141" s="75" t="e">
        <f t="shared" si="101"/>
        <v>#DIV/0!</v>
      </c>
      <c r="Y141" s="75" t="e">
        <f t="shared" si="102"/>
        <v>#DIV/0!</v>
      </c>
      <c r="Z141" s="75" t="e">
        <f t="shared" si="103"/>
        <v>#DIV/0!</v>
      </c>
      <c r="AA141" s="75" t="e">
        <f t="shared" si="104"/>
        <v>#DIV/0!</v>
      </c>
      <c r="AB141" s="75" t="e">
        <f t="shared" si="105"/>
        <v>#DIV/0!</v>
      </c>
      <c r="AC141" s="75" t="e">
        <f t="shared" si="106"/>
        <v>#DIV/0!</v>
      </c>
      <c r="AD141" s="75" t="e">
        <f t="shared" si="107"/>
        <v>#DIV/0!</v>
      </c>
      <c r="AE141" s="75" t="e">
        <f t="shared" si="98"/>
        <v>#DIV/0!</v>
      </c>
      <c r="AF141" s="75" t="e">
        <f t="shared" si="98"/>
        <v>#DIV/0!</v>
      </c>
      <c r="AG141" s="75" t="e">
        <f t="shared" si="98"/>
        <v>#DIV/0!</v>
      </c>
      <c r="AH141" s="75" t="e">
        <f t="shared" si="98"/>
        <v>#DIV/0!</v>
      </c>
      <c r="AI141" s="75" t="e">
        <f t="shared" si="98"/>
        <v>#DIV/0!</v>
      </c>
      <c r="AJ141" s="75" t="e">
        <f t="shared" si="98"/>
        <v>#DIV/0!</v>
      </c>
      <c r="AK141" s="75" t="e">
        <f t="shared" si="98"/>
        <v>#DIV/0!</v>
      </c>
      <c r="AL141" s="75" t="e">
        <f t="shared" si="98"/>
        <v>#DIV/0!</v>
      </c>
      <c r="AM141" s="75" t="e">
        <f t="shared" si="86"/>
        <v>#DIV/0!</v>
      </c>
      <c r="AN141" s="75"/>
      <c r="AO141" s="75"/>
      <c r="AP141" s="76" t="e">
        <f>+VLOOKUP($A141,#REF!,2,FALSE)</f>
        <v>#REF!</v>
      </c>
    </row>
    <row r="142" spans="1:42" s="77" customFormat="1" ht="43.5">
      <c r="A142" s="78" t="s">
        <v>236</v>
      </c>
      <c r="B142" s="85">
        <v>0</v>
      </c>
      <c r="C142" s="92">
        <v>0</v>
      </c>
      <c r="D142" s="92">
        <v>0</v>
      </c>
      <c r="E142" s="92">
        <v>0</v>
      </c>
      <c r="F142" s="92">
        <v>0</v>
      </c>
      <c r="G142" s="92">
        <v>0</v>
      </c>
      <c r="H142" s="92">
        <f t="shared" si="108"/>
        <v>0</v>
      </c>
      <c r="I142" s="85">
        <v>0</v>
      </c>
      <c r="J142" s="85">
        <v>0</v>
      </c>
      <c r="K142" s="72">
        <f t="shared" si="99"/>
        <v>0</v>
      </c>
      <c r="L142" s="85">
        <v>0</v>
      </c>
      <c r="M142" s="85">
        <v>0</v>
      </c>
      <c r="N142" s="85">
        <v>0</v>
      </c>
      <c r="O142" s="85">
        <v>0</v>
      </c>
      <c r="P142" s="72">
        <v>0</v>
      </c>
      <c r="Q142" s="72">
        <v>0</v>
      </c>
      <c r="R142" s="72">
        <v>0</v>
      </c>
      <c r="S142" s="72">
        <v>0</v>
      </c>
      <c r="T142" s="72">
        <f t="shared" si="109"/>
        <v>0</v>
      </c>
      <c r="U142" s="73" t="s">
        <v>352</v>
      </c>
      <c r="V142" s="117"/>
      <c r="W142" s="74"/>
      <c r="X142" s="75" t="e">
        <f t="shared" si="101"/>
        <v>#DIV/0!</v>
      </c>
      <c r="Y142" s="75" t="e">
        <f t="shared" si="102"/>
        <v>#DIV/0!</v>
      </c>
      <c r="Z142" s="75" t="e">
        <f t="shared" si="103"/>
        <v>#DIV/0!</v>
      </c>
      <c r="AA142" s="75" t="e">
        <f t="shared" si="104"/>
        <v>#DIV/0!</v>
      </c>
      <c r="AB142" s="75" t="e">
        <f t="shared" si="105"/>
        <v>#DIV/0!</v>
      </c>
      <c r="AC142" s="75" t="e">
        <f t="shared" si="106"/>
        <v>#DIV/0!</v>
      </c>
      <c r="AD142" s="75" t="e">
        <f t="shared" si="107"/>
        <v>#DIV/0!</v>
      </c>
      <c r="AE142" s="75" t="e">
        <f t="shared" si="98"/>
        <v>#DIV/0!</v>
      </c>
      <c r="AF142" s="75" t="e">
        <f t="shared" si="98"/>
        <v>#DIV/0!</v>
      </c>
      <c r="AG142" s="75" t="e">
        <f t="shared" si="98"/>
        <v>#DIV/0!</v>
      </c>
      <c r="AH142" s="75" t="e">
        <f t="shared" si="98"/>
        <v>#DIV/0!</v>
      </c>
      <c r="AI142" s="75" t="e">
        <f t="shared" si="98"/>
        <v>#DIV/0!</v>
      </c>
      <c r="AJ142" s="75" t="e">
        <f t="shared" si="98"/>
        <v>#DIV/0!</v>
      </c>
      <c r="AK142" s="75" t="e">
        <f t="shared" si="98"/>
        <v>#DIV/0!</v>
      </c>
      <c r="AL142" s="75" t="e">
        <f t="shared" si="98"/>
        <v>#DIV/0!</v>
      </c>
      <c r="AM142" s="75" t="e">
        <f t="shared" si="86"/>
        <v>#DIV/0!</v>
      </c>
      <c r="AN142" s="75"/>
      <c r="AO142" s="75"/>
      <c r="AP142" s="76" t="e">
        <f>+VLOOKUP($A142,#REF!,2,FALSE)</f>
        <v>#REF!</v>
      </c>
    </row>
    <row r="143" spans="1:42" s="77" customFormat="1" ht="43.5">
      <c r="A143" s="78" t="s">
        <v>258</v>
      </c>
      <c r="B143" s="85">
        <v>0</v>
      </c>
      <c r="C143" s="92">
        <v>0</v>
      </c>
      <c r="D143" s="92">
        <v>0</v>
      </c>
      <c r="E143" s="92">
        <v>0</v>
      </c>
      <c r="F143" s="92">
        <v>0</v>
      </c>
      <c r="G143" s="92">
        <v>0</v>
      </c>
      <c r="H143" s="92">
        <f t="shared" si="108"/>
        <v>0</v>
      </c>
      <c r="I143" s="85">
        <v>0</v>
      </c>
      <c r="J143" s="85">
        <v>0</v>
      </c>
      <c r="K143" s="72">
        <f t="shared" si="99"/>
        <v>0</v>
      </c>
      <c r="L143" s="85">
        <v>0</v>
      </c>
      <c r="M143" s="85">
        <v>0</v>
      </c>
      <c r="N143" s="85">
        <v>0</v>
      </c>
      <c r="O143" s="85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f t="shared" si="109"/>
        <v>0</v>
      </c>
      <c r="U143" s="73" t="s">
        <v>352</v>
      </c>
      <c r="V143" s="117"/>
      <c r="W143" s="74"/>
      <c r="X143" s="75" t="e">
        <f t="shared" si="101"/>
        <v>#DIV/0!</v>
      </c>
      <c r="Y143" s="75" t="e">
        <f t="shared" si="102"/>
        <v>#DIV/0!</v>
      </c>
      <c r="Z143" s="75" t="e">
        <f t="shared" si="103"/>
        <v>#DIV/0!</v>
      </c>
      <c r="AA143" s="75" t="e">
        <f t="shared" si="104"/>
        <v>#DIV/0!</v>
      </c>
      <c r="AB143" s="75" t="e">
        <f t="shared" si="105"/>
        <v>#DIV/0!</v>
      </c>
      <c r="AC143" s="75" t="e">
        <f t="shared" si="106"/>
        <v>#DIV/0!</v>
      </c>
      <c r="AD143" s="75" t="e">
        <f t="shared" si="107"/>
        <v>#DIV/0!</v>
      </c>
      <c r="AE143" s="75" t="e">
        <f t="shared" si="98"/>
        <v>#DIV/0!</v>
      </c>
      <c r="AF143" s="75" t="e">
        <f t="shared" si="98"/>
        <v>#DIV/0!</v>
      </c>
      <c r="AG143" s="75" t="e">
        <f t="shared" si="98"/>
        <v>#DIV/0!</v>
      </c>
      <c r="AH143" s="75" t="e">
        <f t="shared" si="98"/>
        <v>#DIV/0!</v>
      </c>
      <c r="AI143" s="75" t="e">
        <f t="shared" si="98"/>
        <v>#DIV/0!</v>
      </c>
      <c r="AJ143" s="75" t="e">
        <f t="shared" si="98"/>
        <v>#DIV/0!</v>
      </c>
      <c r="AK143" s="75" t="e">
        <f t="shared" si="98"/>
        <v>#DIV/0!</v>
      </c>
      <c r="AL143" s="75" t="e">
        <f t="shared" si="98"/>
        <v>#DIV/0!</v>
      </c>
      <c r="AM143" s="75" t="e">
        <f t="shared" si="86"/>
        <v>#DIV/0!</v>
      </c>
      <c r="AN143" s="75"/>
      <c r="AO143" s="75"/>
      <c r="AP143" s="76" t="e">
        <f>+VLOOKUP($A143,#REF!,2,FALSE)</f>
        <v>#REF!</v>
      </c>
    </row>
    <row r="144" spans="1:42" s="77" customFormat="1" ht="43.5">
      <c r="A144" s="78" t="s">
        <v>242</v>
      </c>
      <c r="B144" s="72">
        <v>1992</v>
      </c>
      <c r="C144" s="92">
        <v>29.879226406583967</v>
      </c>
      <c r="D144" s="92">
        <v>0</v>
      </c>
      <c r="E144" s="92">
        <v>0</v>
      </c>
      <c r="F144" s="92">
        <v>0</v>
      </c>
      <c r="G144" s="92">
        <v>0</v>
      </c>
      <c r="H144" s="92">
        <f t="shared" si="108"/>
        <v>29.879226406583967</v>
      </c>
      <c r="I144" s="72">
        <v>1992</v>
      </c>
      <c r="J144" s="72">
        <v>1992</v>
      </c>
      <c r="K144" s="72">
        <f t="shared" si="99"/>
        <v>0</v>
      </c>
      <c r="L144" s="72">
        <v>0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2">
        <f t="shared" si="109"/>
        <v>3984</v>
      </c>
      <c r="U144" s="73" t="s">
        <v>352</v>
      </c>
      <c r="V144" s="117"/>
      <c r="W144" s="74"/>
      <c r="X144" s="75">
        <f t="shared" si="101"/>
        <v>1.499961164989155E-2</v>
      </c>
      <c r="Y144" s="75">
        <f t="shared" si="102"/>
        <v>0</v>
      </c>
      <c r="Z144" s="75">
        <f t="shared" si="103"/>
        <v>0</v>
      </c>
      <c r="AA144" s="75">
        <f t="shared" si="104"/>
        <v>0</v>
      </c>
      <c r="AB144" s="75">
        <f t="shared" si="105"/>
        <v>0</v>
      </c>
      <c r="AC144" s="75">
        <f t="shared" si="106"/>
        <v>1.499961164989155E-2</v>
      </c>
      <c r="AD144" s="75">
        <f t="shared" si="107"/>
        <v>1</v>
      </c>
      <c r="AE144" s="75">
        <f t="shared" si="98"/>
        <v>0</v>
      </c>
      <c r="AF144" s="75">
        <f t="shared" si="98"/>
        <v>0</v>
      </c>
      <c r="AG144" s="75">
        <f t="shared" si="98"/>
        <v>0</v>
      </c>
      <c r="AH144" s="75">
        <f t="shared" si="98"/>
        <v>0</v>
      </c>
      <c r="AI144" s="75">
        <f t="shared" si="98"/>
        <v>0</v>
      </c>
      <c r="AJ144" s="75">
        <f t="shared" si="98"/>
        <v>0</v>
      </c>
      <c r="AK144" s="75">
        <f t="shared" si="98"/>
        <v>0</v>
      </c>
      <c r="AL144" s="75">
        <f t="shared" si="98"/>
        <v>0</v>
      </c>
      <c r="AM144" s="75">
        <f t="shared" si="86"/>
        <v>2</v>
      </c>
      <c r="AN144" s="75"/>
      <c r="AO144" s="75"/>
      <c r="AP144" s="76" t="e">
        <f>+VLOOKUP($A144,#REF!,2,FALSE)</f>
        <v>#REF!</v>
      </c>
    </row>
    <row r="145" spans="1:42" s="77" customFormat="1" ht="43.5">
      <c r="A145" s="120" t="s">
        <v>60</v>
      </c>
      <c r="B145" s="72">
        <v>0</v>
      </c>
      <c r="C145" s="92">
        <v>0</v>
      </c>
      <c r="D145" s="92">
        <v>466</v>
      </c>
      <c r="E145" s="92">
        <v>77.760000000000005</v>
      </c>
      <c r="F145" s="92">
        <v>82.94</v>
      </c>
      <c r="G145" s="92">
        <v>0</v>
      </c>
      <c r="H145" s="92">
        <f t="shared" si="108"/>
        <v>626.70000000000005</v>
      </c>
      <c r="I145" s="72">
        <v>0</v>
      </c>
      <c r="J145" s="72">
        <v>0</v>
      </c>
      <c r="K145" s="72">
        <f t="shared" si="99"/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f t="shared" si="109"/>
        <v>0</v>
      </c>
      <c r="U145" s="73" t="s">
        <v>352</v>
      </c>
      <c r="V145" s="117"/>
      <c r="W145" s="74"/>
      <c r="X145" s="75" t="e">
        <f t="shared" si="101"/>
        <v>#DIV/0!</v>
      </c>
      <c r="Y145" s="75" t="e">
        <f t="shared" si="102"/>
        <v>#DIV/0!</v>
      </c>
      <c r="Z145" s="75" t="e">
        <f t="shared" si="103"/>
        <v>#DIV/0!</v>
      </c>
      <c r="AA145" s="75" t="e">
        <f t="shared" si="104"/>
        <v>#DIV/0!</v>
      </c>
      <c r="AB145" s="75" t="e">
        <f t="shared" si="105"/>
        <v>#DIV/0!</v>
      </c>
      <c r="AC145" s="75" t="e">
        <f t="shared" si="106"/>
        <v>#DIV/0!</v>
      </c>
      <c r="AD145" s="75" t="e">
        <f t="shared" si="107"/>
        <v>#DIV/0!</v>
      </c>
      <c r="AE145" s="75" t="e">
        <f t="shared" si="98"/>
        <v>#DIV/0!</v>
      </c>
      <c r="AF145" s="75" t="e">
        <f t="shared" si="98"/>
        <v>#DIV/0!</v>
      </c>
      <c r="AG145" s="75" t="e">
        <f t="shared" si="98"/>
        <v>#DIV/0!</v>
      </c>
      <c r="AH145" s="75" t="e">
        <f t="shared" si="98"/>
        <v>#DIV/0!</v>
      </c>
      <c r="AI145" s="75" t="e">
        <f t="shared" si="98"/>
        <v>#DIV/0!</v>
      </c>
      <c r="AJ145" s="75" t="e">
        <f t="shared" si="98"/>
        <v>#DIV/0!</v>
      </c>
      <c r="AK145" s="75" t="e">
        <f t="shared" si="98"/>
        <v>#DIV/0!</v>
      </c>
      <c r="AL145" s="75" t="e">
        <f t="shared" si="98"/>
        <v>#DIV/0!</v>
      </c>
      <c r="AM145" s="75" t="e">
        <f t="shared" si="86"/>
        <v>#DIV/0!</v>
      </c>
      <c r="AN145" s="75"/>
      <c r="AO145" s="75"/>
      <c r="AP145" s="76" t="e">
        <f>+VLOOKUP($A145,#REF!,2,FALSE)</f>
        <v>#REF!</v>
      </c>
    </row>
    <row r="146" spans="1:42" s="77" customFormat="1" ht="43.5">
      <c r="A146" s="78" t="s">
        <v>63</v>
      </c>
      <c r="B146" s="72">
        <v>104688</v>
      </c>
      <c r="C146" s="92">
        <v>101.68163190721602</v>
      </c>
      <c r="D146" s="92">
        <v>2.9440000000000022</v>
      </c>
      <c r="E146" s="92">
        <v>0</v>
      </c>
      <c r="F146" s="92">
        <v>0</v>
      </c>
      <c r="G146" s="92">
        <v>0</v>
      </c>
      <c r="H146" s="92">
        <f t="shared" si="108"/>
        <v>104.62563190721602</v>
      </c>
      <c r="I146" s="72">
        <f>112370-9194</f>
        <v>103176</v>
      </c>
      <c r="J146" s="72">
        <v>94996</v>
      </c>
      <c r="K146" s="72">
        <f t="shared" si="99"/>
        <v>-8180</v>
      </c>
      <c r="L146" s="72">
        <v>164</v>
      </c>
      <c r="M146" s="72">
        <v>0</v>
      </c>
      <c r="N146" s="72">
        <v>0</v>
      </c>
      <c r="O146" s="72">
        <v>1348</v>
      </c>
      <c r="P146" s="72">
        <v>0</v>
      </c>
      <c r="Q146" s="72">
        <v>0</v>
      </c>
      <c r="R146" s="72">
        <v>0</v>
      </c>
      <c r="S146" s="72">
        <v>0</v>
      </c>
      <c r="T146" s="72">
        <f t="shared" si="109"/>
        <v>191504</v>
      </c>
      <c r="U146" s="73" t="s">
        <v>352</v>
      </c>
      <c r="V146" s="117"/>
      <c r="W146" s="74"/>
      <c r="X146" s="75">
        <f t="shared" si="101"/>
        <v>9.7128259119685174E-4</v>
      </c>
      <c r="Y146" s="75">
        <f t="shared" si="102"/>
        <v>2.8121656732385776E-5</v>
      </c>
      <c r="Z146" s="75">
        <f t="shared" si="103"/>
        <v>0</v>
      </c>
      <c r="AA146" s="75">
        <f t="shared" si="104"/>
        <v>0</v>
      </c>
      <c r="AB146" s="75">
        <f t="shared" si="105"/>
        <v>0</v>
      </c>
      <c r="AC146" s="75">
        <f t="shared" si="106"/>
        <v>9.9940424792923743E-4</v>
      </c>
      <c r="AD146" s="75">
        <f t="shared" si="107"/>
        <v>0.9855570839064649</v>
      </c>
      <c r="AE146" s="75">
        <f t="shared" si="98"/>
        <v>1.5665596821030109E-3</v>
      </c>
      <c r="AF146" s="75">
        <f t="shared" si="98"/>
        <v>0</v>
      </c>
      <c r="AG146" s="75">
        <f t="shared" si="98"/>
        <v>0</v>
      </c>
      <c r="AH146" s="75">
        <f t="shared" si="98"/>
        <v>1.2876356411432064E-2</v>
      </c>
      <c r="AI146" s="75">
        <f t="shared" si="98"/>
        <v>0</v>
      </c>
      <c r="AJ146" s="75">
        <f t="shared" si="98"/>
        <v>0</v>
      </c>
      <c r="AK146" s="75">
        <f t="shared" si="98"/>
        <v>0</v>
      </c>
      <c r="AL146" s="75">
        <f t="shared" si="98"/>
        <v>0</v>
      </c>
      <c r="AM146" s="75">
        <f t="shared" si="86"/>
        <v>1.829283203423506</v>
      </c>
      <c r="AN146" s="75"/>
      <c r="AO146" s="75"/>
      <c r="AP146" s="76" t="e">
        <f>+VLOOKUP($A146,#REF!,2,FALSE)</f>
        <v>#REF!</v>
      </c>
    </row>
    <row r="147" spans="1:42" s="77" customFormat="1" ht="43.5">
      <c r="A147" s="78" t="s">
        <v>61</v>
      </c>
      <c r="B147" s="72">
        <v>164625</v>
      </c>
      <c r="C147" s="92">
        <v>163.024</v>
      </c>
      <c r="D147" s="92">
        <v>0</v>
      </c>
      <c r="E147" s="92">
        <v>0</v>
      </c>
      <c r="F147" s="92">
        <v>0</v>
      </c>
      <c r="G147" s="92">
        <v>0</v>
      </c>
      <c r="H147" s="92">
        <f t="shared" si="108"/>
        <v>163.024</v>
      </c>
      <c r="I147" s="72">
        <f>190324-31795</f>
        <v>158529</v>
      </c>
      <c r="J147" s="72">
        <v>163099</v>
      </c>
      <c r="K147" s="72">
        <f t="shared" si="99"/>
        <v>4570</v>
      </c>
      <c r="L147" s="72">
        <v>0</v>
      </c>
      <c r="M147" s="72">
        <v>0</v>
      </c>
      <c r="N147" s="72">
        <v>1630</v>
      </c>
      <c r="O147" s="72">
        <v>4225</v>
      </c>
      <c r="P147" s="72">
        <v>0</v>
      </c>
      <c r="Q147" s="72">
        <v>19</v>
      </c>
      <c r="R147" s="72">
        <v>82</v>
      </c>
      <c r="S147" s="72">
        <v>140</v>
      </c>
      <c r="T147" s="72">
        <f t="shared" si="109"/>
        <v>332294</v>
      </c>
      <c r="U147" s="73" t="s">
        <v>352</v>
      </c>
      <c r="V147" s="117"/>
      <c r="W147" s="74"/>
      <c r="X147" s="75">
        <f t="shared" si="101"/>
        <v>9.9027486712224746E-4</v>
      </c>
      <c r="Y147" s="75">
        <f t="shared" si="102"/>
        <v>0</v>
      </c>
      <c r="Z147" s="75">
        <f t="shared" si="103"/>
        <v>0</v>
      </c>
      <c r="AA147" s="75">
        <f t="shared" si="104"/>
        <v>0</v>
      </c>
      <c r="AB147" s="75">
        <f t="shared" si="105"/>
        <v>0</v>
      </c>
      <c r="AC147" s="75">
        <f t="shared" si="106"/>
        <v>9.9027486712224746E-4</v>
      </c>
      <c r="AD147" s="75">
        <f t="shared" si="107"/>
        <v>0.96297038724373574</v>
      </c>
      <c r="AE147" s="75">
        <f t="shared" si="98"/>
        <v>0</v>
      </c>
      <c r="AF147" s="75">
        <f t="shared" si="98"/>
        <v>0</v>
      </c>
      <c r="AG147" s="75">
        <f t="shared" si="98"/>
        <v>9.9012908124525428E-3</v>
      </c>
      <c r="AH147" s="75">
        <f t="shared" si="98"/>
        <v>2.5664388762338647E-2</v>
      </c>
      <c r="AI147" s="75">
        <f t="shared" si="98"/>
        <v>0</v>
      </c>
      <c r="AJ147" s="75">
        <f t="shared" si="98"/>
        <v>1.1541381928625665E-4</v>
      </c>
      <c r="AK147" s="75">
        <f t="shared" si="98"/>
        <v>4.9810174639331817E-4</v>
      </c>
      <c r="AL147" s="75">
        <f t="shared" si="98"/>
        <v>8.5041761579347005E-4</v>
      </c>
      <c r="AM147" s="75">
        <f t="shared" si="86"/>
        <v>2.0184905087319667</v>
      </c>
      <c r="AN147" s="75"/>
      <c r="AO147" s="75"/>
      <c r="AP147" s="76" t="e">
        <f>+VLOOKUP($A147,#REF!,2,FALSE)</f>
        <v>#REF!</v>
      </c>
    </row>
    <row r="148" spans="1:42" s="77" customFormat="1" ht="43.5">
      <c r="A148" s="78" t="s">
        <v>247</v>
      </c>
      <c r="B148" s="72">
        <v>304875</v>
      </c>
      <c r="C148" s="92">
        <v>304.9303998322024</v>
      </c>
      <c r="D148" s="92">
        <v>1.4720000000000011</v>
      </c>
      <c r="E148" s="92">
        <v>0.20239999999999941</v>
      </c>
      <c r="F148" s="92">
        <v>0</v>
      </c>
      <c r="G148" s="92">
        <v>0</v>
      </c>
      <c r="H148" s="92">
        <f t="shared" si="108"/>
        <v>306.60479983220239</v>
      </c>
      <c r="I148" s="72">
        <f>262000-8694</f>
        <v>253306</v>
      </c>
      <c r="J148" s="72">
        <v>253306</v>
      </c>
      <c r="K148" s="72">
        <f t="shared" si="99"/>
        <v>0</v>
      </c>
      <c r="L148" s="72">
        <v>0</v>
      </c>
      <c r="M148" s="72">
        <v>0</v>
      </c>
      <c r="N148" s="72">
        <v>19281</v>
      </c>
      <c r="O148" s="72">
        <v>13618</v>
      </c>
      <c r="P148" s="72">
        <v>3270</v>
      </c>
      <c r="Q148" s="72">
        <v>6008</v>
      </c>
      <c r="R148" s="72">
        <v>497</v>
      </c>
      <c r="S148" s="72">
        <v>8895</v>
      </c>
      <c r="T148" s="72">
        <f t="shared" si="109"/>
        <v>558181</v>
      </c>
      <c r="U148" s="73" t="s">
        <v>352</v>
      </c>
      <c r="V148" s="117"/>
      <c r="W148" s="74"/>
      <c r="X148" s="75">
        <f t="shared" si="101"/>
        <v>1.0001817132667566E-3</v>
      </c>
      <c r="Y148" s="75">
        <f t="shared" si="102"/>
        <v>4.8282082820828245E-6</v>
      </c>
      <c r="Z148" s="75">
        <f t="shared" si="103"/>
        <v>6.6387863878638594E-7</v>
      </c>
      <c r="AA148" s="75">
        <f t="shared" si="104"/>
        <v>0</v>
      </c>
      <c r="AB148" s="75">
        <f t="shared" si="105"/>
        <v>0</v>
      </c>
      <c r="AC148" s="75">
        <f t="shared" si="106"/>
        <v>1.0056738001876257E-3</v>
      </c>
      <c r="AD148" s="75">
        <f t="shared" si="107"/>
        <v>0.83085198851988518</v>
      </c>
      <c r="AE148" s="75">
        <f t="shared" si="98"/>
        <v>0</v>
      </c>
      <c r="AF148" s="75">
        <f t="shared" si="98"/>
        <v>0</v>
      </c>
      <c r="AG148" s="75">
        <f t="shared" si="98"/>
        <v>6.3242312423124225E-2</v>
      </c>
      <c r="AH148" s="75">
        <f t="shared" si="98"/>
        <v>4.4667486674866752E-2</v>
      </c>
      <c r="AI148" s="75">
        <f t="shared" si="98"/>
        <v>1.0725707257072571E-2</v>
      </c>
      <c r="AJ148" s="75">
        <f t="shared" si="98"/>
        <v>1.9706437064370644E-2</v>
      </c>
      <c r="AK148" s="75">
        <f t="shared" si="98"/>
        <v>1.6301763017630177E-3</v>
      </c>
      <c r="AL148" s="75">
        <f t="shared" si="98"/>
        <v>2.9175891758917591E-2</v>
      </c>
      <c r="AM148" s="75">
        <f t="shared" si="86"/>
        <v>1.8308519885198853</v>
      </c>
      <c r="AN148" s="75"/>
      <c r="AO148" s="75"/>
      <c r="AP148" s="76" t="e">
        <f>+VLOOKUP($A148,#REF!,2,FALSE)</f>
        <v>#REF!</v>
      </c>
    </row>
    <row r="149" spans="1:42" s="77" customFormat="1" ht="43.5">
      <c r="A149" s="78" t="s">
        <v>244</v>
      </c>
      <c r="B149" s="72">
        <v>135188</v>
      </c>
      <c r="C149" s="92">
        <v>125.54595255738938</v>
      </c>
      <c r="D149" s="92">
        <v>1.4720000000000011</v>
      </c>
      <c r="E149" s="92">
        <v>0</v>
      </c>
      <c r="F149" s="92">
        <v>0</v>
      </c>
      <c r="G149" s="92">
        <v>0</v>
      </c>
      <c r="H149" s="92">
        <f t="shared" si="108"/>
        <v>127.01795255738938</v>
      </c>
      <c r="I149" s="72">
        <f>123000-1174</f>
        <v>121826</v>
      </c>
      <c r="J149" s="72">
        <v>118871</v>
      </c>
      <c r="K149" s="72">
        <f t="shared" si="99"/>
        <v>-2955</v>
      </c>
      <c r="L149" s="72">
        <v>2462</v>
      </c>
      <c r="M149" s="72">
        <v>0</v>
      </c>
      <c r="N149" s="72">
        <v>0</v>
      </c>
      <c r="O149" s="72">
        <v>9580</v>
      </c>
      <c r="P149" s="72">
        <v>0</v>
      </c>
      <c r="Q149" s="72">
        <v>160</v>
      </c>
      <c r="R149" s="72">
        <v>1160</v>
      </c>
      <c r="S149" s="72">
        <v>0</v>
      </c>
      <c r="T149" s="72">
        <f t="shared" si="109"/>
        <v>251104</v>
      </c>
      <c r="U149" s="73" t="s">
        <v>352</v>
      </c>
      <c r="V149" s="117"/>
      <c r="W149" s="74"/>
      <c r="X149" s="75">
        <f t="shared" si="101"/>
        <v>9.2867675057985459E-4</v>
      </c>
      <c r="Y149" s="75">
        <f t="shared" si="102"/>
        <v>1.0888540402994356E-5</v>
      </c>
      <c r="Z149" s="75">
        <f t="shared" si="103"/>
        <v>0</v>
      </c>
      <c r="AA149" s="75">
        <f t="shared" si="104"/>
        <v>0</v>
      </c>
      <c r="AB149" s="75">
        <f t="shared" si="105"/>
        <v>0</v>
      </c>
      <c r="AC149" s="75">
        <f t="shared" si="106"/>
        <v>9.3956529098284888E-4</v>
      </c>
      <c r="AD149" s="75">
        <f t="shared" si="107"/>
        <v>0.90115986626031896</v>
      </c>
      <c r="AE149" s="75">
        <f t="shared" si="98"/>
        <v>1.8211675592508209E-2</v>
      </c>
      <c r="AF149" s="75">
        <f t="shared" si="98"/>
        <v>0</v>
      </c>
      <c r="AG149" s="75">
        <f t="shared" si="98"/>
        <v>0</v>
      </c>
      <c r="AH149" s="75">
        <f t="shared" si="98"/>
        <v>7.0864277894487682E-2</v>
      </c>
      <c r="AI149" s="75">
        <f t="shared" si="98"/>
        <v>0</v>
      </c>
      <c r="AJ149" s="75">
        <f t="shared" si="98"/>
        <v>1.1835370003254726E-3</v>
      </c>
      <c r="AK149" s="75">
        <f t="shared" si="98"/>
        <v>8.5806432523596772E-3</v>
      </c>
      <c r="AL149" s="75">
        <f t="shared" si="98"/>
        <v>0</v>
      </c>
      <c r="AM149" s="75">
        <f t="shared" si="86"/>
        <v>1.8574429683107969</v>
      </c>
      <c r="AN149" s="75"/>
      <c r="AO149" s="75"/>
      <c r="AP149" s="76" t="e">
        <f>+VLOOKUP($A149,#REF!,2,FALSE)</f>
        <v>#REF!</v>
      </c>
    </row>
    <row r="150" spans="1:42" s="77" customFormat="1" ht="43.5">
      <c r="A150" s="78" t="s">
        <v>245</v>
      </c>
      <c r="B150" s="72">
        <v>330063</v>
      </c>
      <c r="C150" s="92">
        <v>339.5444885212537</v>
      </c>
      <c r="D150" s="92">
        <v>0</v>
      </c>
      <c r="E150" s="92">
        <v>0</v>
      </c>
      <c r="F150" s="92">
        <v>0</v>
      </c>
      <c r="G150" s="92">
        <v>0</v>
      </c>
      <c r="H150" s="92">
        <f t="shared" si="108"/>
        <v>339.5444885212537</v>
      </c>
      <c r="I150" s="72">
        <v>278685</v>
      </c>
      <c r="J150" s="72">
        <v>278685</v>
      </c>
      <c r="K150" s="72">
        <f t="shared" si="99"/>
        <v>0</v>
      </c>
      <c r="L150" s="72">
        <v>4525</v>
      </c>
      <c r="M150" s="72">
        <v>0</v>
      </c>
      <c r="N150" s="72">
        <v>0</v>
      </c>
      <c r="O150" s="72">
        <v>15029</v>
      </c>
      <c r="P150" s="72">
        <v>0</v>
      </c>
      <c r="Q150" s="72">
        <v>19458</v>
      </c>
      <c r="R150" s="72">
        <v>2371</v>
      </c>
      <c r="S150" s="72">
        <v>0</v>
      </c>
      <c r="T150" s="72">
        <f t="shared" si="109"/>
        <v>598753</v>
      </c>
      <c r="U150" s="73" t="s">
        <v>352</v>
      </c>
      <c r="V150" s="117"/>
      <c r="W150" s="74"/>
      <c r="X150" s="75">
        <f t="shared" si="101"/>
        <v>1.0287262992860566E-3</v>
      </c>
      <c r="Y150" s="75">
        <f t="shared" si="102"/>
        <v>0</v>
      </c>
      <c r="Z150" s="75">
        <f t="shared" si="103"/>
        <v>0</v>
      </c>
      <c r="AA150" s="75">
        <f t="shared" si="104"/>
        <v>0</v>
      </c>
      <c r="AB150" s="75">
        <f t="shared" si="105"/>
        <v>0</v>
      </c>
      <c r="AC150" s="75">
        <f t="shared" si="106"/>
        <v>1.0287262992860566E-3</v>
      </c>
      <c r="AD150" s="75">
        <f t="shared" si="107"/>
        <v>0.84433880804573669</v>
      </c>
      <c r="AE150" s="75">
        <f t="shared" si="98"/>
        <v>1.3709503943186603E-2</v>
      </c>
      <c r="AF150" s="75">
        <f t="shared" si="98"/>
        <v>0</v>
      </c>
      <c r="AG150" s="75">
        <f t="shared" si="98"/>
        <v>0</v>
      </c>
      <c r="AH150" s="75">
        <f t="shared" si="98"/>
        <v>4.5533731439149495E-2</v>
      </c>
      <c r="AI150" s="75">
        <f t="shared" si="98"/>
        <v>0</v>
      </c>
      <c r="AJ150" s="75">
        <f t="shared" si="98"/>
        <v>5.8952381818016562E-2</v>
      </c>
      <c r="AK150" s="75">
        <f t="shared" si="98"/>
        <v>7.1834770937669479E-3</v>
      </c>
      <c r="AL150" s="75">
        <f t="shared" si="98"/>
        <v>0</v>
      </c>
      <c r="AM150" s="75">
        <f t="shared" si="86"/>
        <v>1.8140567103855931</v>
      </c>
      <c r="AN150" s="75"/>
      <c r="AO150" s="75"/>
      <c r="AP150" s="76" t="e">
        <f>+VLOOKUP($A150,#REF!,2,FALSE)</f>
        <v>#REF!</v>
      </c>
    </row>
    <row r="151" spans="1:42" s="77" customFormat="1" ht="43.5">
      <c r="A151" s="78" t="s">
        <v>62</v>
      </c>
      <c r="B151" s="72">
        <v>329063</v>
      </c>
      <c r="C151" s="92">
        <v>286.28899733163121</v>
      </c>
      <c r="D151" s="92">
        <v>0</v>
      </c>
      <c r="E151" s="92">
        <v>0</v>
      </c>
      <c r="F151" s="92">
        <v>0</v>
      </c>
      <c r="G151" s="92">
        <v>0</v>
      </c>
      <c r="H151" s="92">
        <f t="shared" si="108"/>
        <v>286.28899733163121</v>
      </c>
      <c r="I151" s="72">
        <v>290000</v>
      </c>
      <c r="J151" s="72">
        <v>323365</v>
      </c>
      <c r="K151" s="72">
        <f t="shared" si="99"/>
        <v>33365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f t="shared" si="109"/>
        <v>646730</v>
      </c>
      <c r="U151" s="73" t="s">
        <v>352</v>
      </c>
      <c r="V151" s="117"/>
      <c r="W151" s="74"/>
      <c r="X151" s="75">
        <f t="shared" si="101"/>
        <v>8.7001272501506153E-4</v>
      </c>
      <c r="Y151" s="75">
        <f t="shared" si="102"/>
        <v>0</v>
      </c>
      <c r="Z151" s="75">
        <f t="shared" si="103"/>
        <v>0</v>
      </c>
      <c r="AA151" s="75">
        <f t="shared" si="104"/>
        <v>0</v>
      </c>
      <c r="AB151" s="75">
        <f t="shared" si="105"/>
        <v>0</v>
      </c>
      <c r="AC151" s="75">
        <f t="shared" si="106"/>
        <v>8.7001272501506153E-4</v>
      </c>
      <c r="AD151" s="75">
        <f t="shared" si="107"/>
        <v>0.88129020886577947</v>
      </c>
      <c r="AE151" s="75">
        <f t="shared" si="98"/>
        <v>0</v>
      </c>
      <c r="AF151" s="75">
        <f t="shared" si="98"/>
        <v>0</v>
      </c>
      <c r="AG151" s="75">
        <f t="shared" si="98"/>
        <v>0</v>
      </c>
      <c r="AH151" s="75">
        <f t="shared" si="98"/>
        <v>0</v>
      </c>
      <c r="AI151" s="75">
        <f t="shared" si="98"/>
        <v>0</v>
      </c>
      <c r="AJ151" s="75">
        <f t="shared" si="98"/>
        <v>0</v>
      </c>
      <c r="AK151" s="75">
        <f t="shared" si="98"/>
        <v>0</v>
      </c>
      <c r="AL151" s="75">
        <f t="shared" si="98"/>
        <v>0</v>
      </c>
      <c r="AM151" s="75">
        <f t="shared" si="86"/>
        <v>1.9653683337233296</v>
      </c>
      <c r="AN151" s="75"/>
      <c r="AO151" s="75"/>
      <c r="AP151" s="76" t="e">
        <f>+VLOOKUP($A151,#REF!,2,FALSE)</f>
        <v>#REF!</v>
      </c>
    </row>
    <row r="152" spans="1:42" s="77" customFormat="1" ht="43.5">
      <c r="A152" s="78" t="s">
        <v>237</v>
      </c>
      <c r="B152" s="72">
        <v>454312.5</v>
      </c>
      <c r="C152" s="92">
        <v>425.6537238201434</v>
      </c>
      <c r="D152" s="92">
        <v>0</v>
      </c>
      <c r="E152" s="92">
        <v>0</v>
      </c>
      <c r="F152" s="92">
        <v>0</v>
      </c>
      <c r="G152" s="92">
        <v>0</v>
      </c>
      <c r="H152" s="92">
        <f t="shared" si="108"/>
        <v>425.6537238201434</v>
      </c>
      <c r="I152" s="72">
        <v>391407</v>
      </c>
      <c r="J152" s="72">
        <v>391407</v>
      </c>
      <c r="K152" s="72">
        <f t="shared" si="99"/>
        <v>0</v>
      </c>
      <c r="L152" s="72">
        <v>0</v>
      </c>
      <c r="M152" s="72">
        <v>0</v>
      </c>
      <c r="N152" s="72">
        <v>32536</v>
      </c>
      <c r="O152" s="72">
        <v>7832</v>
      </c>
      <c r="P152" s="72">
        <v>0</v>
      </c>
      <c r="Q152" s="72">
        <v>2072</v>
      </c>
      <c r="R152" s="72">
        <v>0</v>
      </c>
      <c r="S152" s="72">
        <v>0</v>
      </c>
      <c r="T152" s="72">
        <f t="shared" si="109"/>
        <v>825254</v>
      </c>
      <c r="U152" s="73" t="s">
        <v>352</v>
      </c>
      <c r="V152" s="117"/>
      <c r="W152" s="74"/>
      <c r="X152" s="75">
        <f t="shared" si="101"/>
        <v>9.3691836306538647E-4</v>
      </c>
      <c r="Y152" s="75">
        <f t="shared" si="102"/>
        <v>0</v>
      </c>
      <c r="Z152" s="75">
        <f t="shared" si="103"/>
        <v>0</v>
      </c>
      <c r="AA152" s="75">
        <f t="shared" si="104"/>
        <v>0</v>
      </c>
      <c r="AB152" s="75">
        <f t="shared" si="105"/>
        <v>0</v>
      </c>
      <c r="AC152" s="75">
        <f t="shared" si="106"/>
        <v>9.3691836306538647E-4</v>
      </c>
      <c r="AD152" s="75">
        <f t="shared" si="107"/>
        <v>0.86153693768056128</v>
      </c>
      <c r="AE152" s="75">
        <f t="shared" ref="AE152:AL156" si="110">+L152/$B152</f>
        <v>0</v>
      </c>
      <c r="AF152" s="75">
        <f t="shared" si="110"/>
        <v>0</v>
      </c>
      <c r="AG152" s="75">
        <f t="shared" si="110"/>
        <v>7.1615903150364563E-2</v>
      </c>
      <c r="AH152" s="75">
        <f t="shared" si="110"/>
        <v>1.7239235107992846E-2</v>
      </c>
      <c r="AI152" s="75">
        <f t="shared" si="110"/>
        <v>0</v>
      </c>
      <c r="AJ152" s="75">
        <f t="shared" si="110"/>
        <v>4.5607373779061773E-3</v>
      </c>
      <c r="AK152" s="75">
        <f t="shared" si="110"/>
        <v>0</v>
      </c>
      <c r="AL152" s="75">
        <f t="shared" si="110"/>
        <v>0</v>
      </c>
      <c r="AM152" s="75">
        <f t="shared" si="86"/>
        <v>1.8164897509973861</v>
      </c>
      <c r="AN152" s="75"/>
      <c r="AO152" s="75"/>
      <c r="AP152" s="76" t="e">
        <f>+VLOOKUP($A152,#REF!,2,FALSE)</f>
        <v>#REF!</v>
      </c>
    </row>
    <row r="153" spans="1:42" s="77" customFormat="1" ht="43.5">
      <c r="A153" s="78" t="s">
        <v>259</v>
      </c>
      <c r="B153" s="72">
        <v>184062.5</v>
      </c>
      <c r="C153" s="92">
        <v>138.99968955694854</v>
      </c>
      <c r="D153" s="92">
        <v>11.618285714285717</v>
      </c>
      <c r="E153" s="92">
        <v>0</v>
      </c>
      <c r="F153" s="92">
        <v>0</v>
      </c>
      <c r="G153" s="92">
        <v>0</v>
      </c>
      <c r="H153" s="92">
        <f t="shared" si="108"/>
        <v>150.61797527123426</v>
      </c>
      <c r="I153" s="72">
        <v>145000</v>
      </c>
      <c r="J153" s="72">
        <v>145000</v>
      </c>
      <c r="K153" s="72">
        <f t="shared" si="99"/>
        <v>0</v>
      </c>
      <c r="L153" s="72">
        <v>0</v>
      </c>
      <c r="M153" s="72">
        <v>0</v>
      </c>
      <c r="N153" s="72">
        <v>375</v>
      </c>
      <c r="O153" s="72">
        <v>7320</v>
      </c>
      <c r="P153" s="72">
        <v>0</v>
      </c>
      <c r="Q153" s="72">
        <v>2052</v>
      </c>
      <c r="R153" s="72">
        <v>0</v>
      </c>
      <c r="S153" s="72">
        <v>0</v>
      </c>
      <c r="T153" s="72">
        <f t="shared" si="109"/>
        <v>299747</v>
      </c>
      <c r="U153" s="73" t="s">
        <v>352</v>
      </c>
      <c r="V153" s="117"/>
      <c r="W153" s="74"/>
      <c r="X153" s="75">
        <f t="shared" si="101"/>
        <v>7.5517658163367632E-4</v>
      </c>
      <c r="Y153" s="75">
        <f t="shared" si="102"/>
        <v>6.3121416444336664E-5</v>
      </c>
      <c r="Z153" s="75">
        <f t="shared" si="103"/>
        <v>0</v>
      </c>
      <c r="AA153" s="75">
        <f t="shared" si="104"/>
        <v>0</v>
      </c>
      <c r="AB153" s="75">
        <f t="shared" si="105"/>
        <v>0</v>
      </c>
      <c r="AC153" s="75">
        <f t="shared" si="106"/>
        <v>8.1829799807801298E-4</v>
      </c>
      <c r="AD153" s="75">
        <f t="shared" si="107"/>
        <v>0.78777589134125636</v>
      </c>
      <c r="AE153" s="75">
        <f t="shared" si="110"/>
        <v>0</v>
      </c>
      <c r="AF153" s="75">
        <f t="shared" si="110"/>
        <v>0</v>
      </c>
      <c r="AG153" s="75">
        <f t="shared" si="110"/>
        <v>2.0373514431239388E-3</v>
      </c>
      <c r="AH153" s="75">
        <f t="shared" si="110"/>
        <v>3.976910016977929E-2</v>
      </c>
      <c r="AI153" s="75">
        <f t="shared" si="110"/>
        <v>0</v>
      </c>
      <c r="AJ153" s="75">
        <f t="shared" si="110"/>
        <v>1.1148387096774194E-2</v>
      </c>
      <c r="AK153" s="75">
        <f t="shared" si="110"/>
        <v>0</v>
      </c>
      <c r="AL153" s="75">
        <f t="shared" si="110"/>
        <v>0</v>
      </c>
      <c r="AM153" s="75">
        <f t="shared" si="86"/>
        <v>1.6285066213921902</v>
      </c>
      <c r="AN153" s="75"/>
      <c r="AO153" s="75"/>
      <c r="AP153" s="76" t="e">
        <f>+VLOOKUP($A153,#REF!,2,FALSE)</f>
        <v>#REF!</v>
      </c>
    </row>
    <row r="154" spans="1:42" s="77" customFormat="1" ht="43.5">
      <c r="A154" s="78" t="s">
        <v>143</v>
      </c>
      <c r="B154" s="72">
        <v>180875</v>
      </c>
      <c r="C154" s="92">
        <v>176.49513938222105</v>
      </c>
      <c r="D154" s="92">
        <v>1.1040000000000008</v>
      </c>
      <c r="E154" s="92">
        <v>0</v>
      </c>
      <c r="F154" s="92">
        <v>0</v>
      </c>
      <c r="G154" s="92">
        <v>0</v>
      </c>
      <c r="H154" s="92">
        <f t="shared" si="108"/>
        <v>177.59913938222107</v>
      </c>
      <c r="I154" s="72">
        <v>146175</v>
      </c>
      <c r="J154" s="72">
        <v>166130</v>
      </c>
      <c r="K154" s="72">
        <f t="shared" si="99"/>
        <v>19955</v>
      </c>
      <c r="L154" s="72">
        <v>291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72">
        <v>6478</v>
      </c>
      <c r="S154" s="72">
        <v>0</v>
      </c>
      <c r="T154" s="72">
        <f t="shared" si="109"/>
        <v>339029</v>
      </c>
      <c r="U154" s="73" t="s">
        <v>352</v>
      </c>
      <c r="V154" s="117"/>
      <c r="W154" s="74"/>
      <c r="X154" s="75">
        <f t="shared" si="101"/>
        <v>9.7578515207862363E-4</v>
      </c>
      <c r="Y154" s="75">
        <f t="shared" si="102"/>
        <v>6.1036627505183175E-6</v>
      </c>
      <c r="Z154" s="75">
        <f t="shared" si="103"/>
        <v>0</v>
      </c>
      <c r="AA154" s="75">
        <f t="shared" si="104"/>
        <v>0</v>
      </c>
      <c r="AB154" s="75">
        <f t="shared" si="105"/>
        <v>0</v>
      </c>
      <c r="AC154" s="75">
        <f t="shared" si="106"/>
        <v>9.8188881482914208E-4</v>
      </c>
      <c r="AD154" s="75">
        <f t="shared" si="107"/>
        <v>0.80815480304077403</v>
      </c>
      <c r="AE154" s="75">
        <f t="shared" si="110"/>
        <v>1.6088458880442295E-3</v>
      </c>
      <c r="AF154" s="75">
        <f t="shared" si="110"/>
        <v>0</v>
      </c>
      <c r="AG154" s="75">
        <f t="shared" si="110"/>
        <v>0</v>
      </c>
      <c r="AH154" s="75">
        <f t="shared" si="110"/>
        <v>0</v>
      </c>
      <c r="AI154" s="75">
        <f t="shared" si="110"/>
        <v>0</v>
      </c>
      <c r="AJ154" s="75">
        <f t="shared" si="110"/>
        <v>0</v>
      </c>
      <c r="AK154" s="75">
        <f t="shared" si="110"/>
        <v>3.5814789219073946E-2</v>
      </c>
      <c r="AL154" s="75">
        <f t="shared" si="110"/>
        <v>0</v>
      </c>
      <c r="AM154" s="75">
        <f t="shared" si="86"/>
        <v>1.8743828610919142</v>
      </c>
      <c r="AN154" s="75"/>
      <c r="AO154" s="75"/>
      <c r="AP154" s="76" t="e">
        <f>+VLOOKUP($A154,#REF!,2,FALSE)</f>
        <v>#REF!</v>
      </c>
    </row>
    <row r="155" spans="1:42" s="77" customFormat="1" ht="43.5">
      <c r="A155" s="78" t="s">
        <v>243</v>
      </c>
      <c r="B155" s="72">
        <v>110562.5</v>
      </c>
      <c r="C155" s="92">
        <v>43.034463376391322</v>
      </c>
      <c r="D155" s="92">
        <v>0.54900000000000015</v>
      </c>
      <c r="E155" s="92">
        <v>0.54900000000000015</v>
      </c>
      <c r="F155" s="92">
        <v>0.54900000000000015</v>
      </c>
      <c r="G155" s="92">
        <v>18.899999999999999</v>
      </c>
      <c r="H155" s="92">
        <f t="shared" si="108"/>
        <v>63.581463376391319</v>
      </c>
      <c r="I155" s="72">
        <v>80000</v>
      </c>
      <c r="J155" s="72">
        <v>80000</v>
      </c>
      <c r="K155" s="72">
        <f t="shared" si="99"/>
        <v>0</v>
      </c>
      <c r="L155" s="72">
        <v>0</v>
      </c>
      <c r="M155" s="72">
        <v>0</v>
      </c>
      <c r="N155" s="72">
        <v>0</v>
      </c>
      <c r="O155" s="72">
        <v>1000</v>
      </c>
      <c r="P155" s="72">
        <v>0</v>
      </c>
      <c r="Q155" s="72">
        <v>87</v>
      </c>
      <c r="R155" s="72">
        <v>0</v>
      </c>
      <c r="S155" s="72">
        <v>0</v>
      </c>
      <c r="T155" s="72">
        <f t="shared" si="109"/>
        <v>161087</v>
      </c>
      <c r="U155" s="73" t="s">
        <v>352</v>
      </c>
      <c r="V155" s="117"/>
      <c r="W155" s="74"/>
      <c r="X155" s="75">
        <f t="shared" si="101"/>
        <v>3.8923200340433079E-4</v>
      </c>
      <c r="Y155" s="75">
        <f t="shared" si="102"/>
        <v>4.9655172413793118E-6</v>
      </c>
      <c r="Z155" s="75">
        <f t="shared" si="103"/>
        <v>4.9655172413793118E-6</v>
      </c>
      <c r="AA155" s="75">
        <f t="shared" si="104"/>
        <v>4.9655172413793118E-6</v>
      </c>
      <c r="AB155" s="75">
        <f t="shared" si="105"/>
        <v>1.7094403617863197E-4</v>
      </c>
      <c r="AC155" s="75">
        <f t="shared" si="106"/>
        <v>5.7507259130710065E-4</v>
      </c>
      <c r="AD155" s="75">
        <f t="shared" si="107"/>
        <v>0.72357263990955345</v>
      </c>
      <c r="AE155" s="75">
        <f t="shared" si="110"/>
        <v>0</v>
      </c>
      <c r="AF155" s="75">
        <f t="shared" si="110"/>
        <v>0</v>
      </c>
      <c r="AG155" s="75">
        <f t="shared" si="110"/>
        <v>0</v>
      </c>
      <c r="AH155" s="75">
        <f t="shared" si="110"/>
        <v>9.0446579988694171E-3</v>
      </c>
      <c r="AI155" s="75">
        <f t="shared" si="110"/>
        <v>0</v>
      </c>
      <c r="AJ155" s="75">
        <f t="shared" si="110"/>
        <v>7.868852459016393E-4</v>
      </c>
      <c r="AK155" s="75">
        <f t="shared" si="110"/>
        <v>0</v>
      </c>
      <c r="AL155" s="75">
        <f t="shared" si="110"/>
        <v>0</v>
      </c>
      <c r="AM155" s="75">
        <f t="shared" si="86"/>
        <v>1.456976823063878</v>
      </c>
      <c r="AN155" s="75"/>
      <c r="AO155" s="75"/>
      <c r="AP155" s="76" t="e">
        <f>+VLOOKUP($A155,#REF!,2,FALSE)</f>
        <v>#REF!</v>
      </c>
    </row>
    <row r="156" spans="1:42" s="77" customFormat="1" ht="43.5">
      <c r="A156" s="78" t="s">
        <v>270</v>
      </c>
      <c r="B156" s="72">
        <v>153937.5</v>
      </c>
      <c r="C156" s="92">
        <v>30.148535024845422</v>
      </c>
      <c r="D156" s="92">
        <v>11.618285714285717</v>
      </c>
      <c r="E156" s="92">
        <v>0</v>
      </c>
      <c r="F156" s="92">
        <v>0</v>
      </c>
      <c r="G156" s="92">
        <v>0</v>
      </c>
      <c r="H156" s="92">
        <f t="shared" si="108"/>
        <v>41.766820739131141</v>
      </c>
      <c r="I156" s="72">
        <v>143000</v>
      </c>
      <c r="J156" s="72">
        <v>99500</v>
      </c>
      <c r="K156" s="72">
        <f t="shared" si="99"/>
        <v>-43500</v>
      </c>
      <c r="L156" s="72">
        <v>0</v>
      </c>
      <c r="M156" s="72">
        <v>0</v>
      </c>
      <c r="N156" s="72">
        <v>0</v>
      </c>
      <c r="O156" s="72">
        <v>0</v>
      </c>
      <c r="P156" s="72">
        <v>0</v>
      </c>
      <c r="Q156" s="72">
        <v>0</v>
      </c>
      <c r="R156" s="72">
        <v>0</v>
      </c>
      <c r="S156" s="72">
        <v>0</v>
      </c>
      <c r="T156" s="72">
        <f t="shared" si="109"/>
        <v>199000</v>
      </c>
      <c r="U156" s="73" t="s">
        <v>352</v>
      </c>
      <c r="V156" s="117"/>
      <c r="W156" s="74"/>
      <c r="X156" s="75">
        <f t="shared" si="101"/>
        <v>1.9584919220362436E-4</v>
      </c>
      <c r="Y156" s="75">
        <f t="shared" si="102"/>
        <v>7.5474044428977454E-5</v>
      </c>
      <c r="Z156" s="75">
        <f t="shared" si="103"/>
        <v>0</v>
      </c>
      <c r="AA156" s="75">
        <f t="shared" si="104"/>
        <v>0</v>
      </c>
      <c r="AB156" s="75">
        <f t="shared" si="105"/>
        <v>0</v>
      </c>
      <c r="AC156" s="75">
        <f t="shared" si="106"/>
        <v>2.7132323663260182E-4</v>
      </c>
      <c r="AD156" s="75">
        <f t="shared" si="107"/>
        <v>0.92894843686561102</v>
      </c>
      <c r="AE156" s="75">
        <f t="shared" si="110"/>
        <v>0</v>
      </c>
      <c r="AF156" s="75">
        <f t="shared" si="110"/>
        <v>0</v>
      </c>
      <c r="AG156" s="75">
        <f t="shared" si="110"/>
        <v>0</v>
      </c>
      <c r="AH156" s="75">
        <f t="shared" si="110"/>
        <v>0</v>
      </c>
      <c r="AI156" s="75">
        <f t="shared" si="110"/>
        <v>0</v>
      </c>
      <c r="AJ156" s="75">
        <f t="shared" si="110"/>
        <v>0</v>
      </c>
      <c r="AK156" s="75">
        <f t="shared" si="110"/>
        <v>0</v>
      </c>
      <c r="AL156" s="75">
        <f t="shared" si="110"/>
        <v>0</v>
      </c>
      <c r="AM156" s="75">
        <f t="shared" si="86"/>
        <v>1.2927324401136826</v>
      </c>
      <c r="AN156" s="75"/>
      <c r="AO156" s="75"/>
      <c r="AP156" s="76" t="e">
        <f>+VLOOKUP($A156,#REF!,2,FALSE)</f>
        <v>#REF!</v>
      </c>
    </row>
    <row r="157" spans="1:42" s="77" customFormat="1">
      <c r="A157" s="80" t="s">
        <v>9</v>
      </c>
      <c r="B157" s="90">
        <f>SUM(B140:B156)</f>
        <v>2513508</v>
      </c>
      <c r="C157" s="93">
        <f t="shared" ref="C157:T157" si="111">SUM(C140:C156)</f>
        <v>2275.5335601636752</v>
      </c>
      <c r="D157" s="93">
        <f t="shared" si="111"/>
        <v>498.24957142857136</v>
      </c>
      <c r="E157" s="93">
        <f t="shared" si="111"/>
        <v>78.511400000000009</v>
      </c>
      <c r="F157" s="93">
        <f t="shared" si="111"/>
        <v>83.489000000000004</v>
      </c>
      <c r="G157" s="93">
        <f t="shared" si="111"/>
        <v>18.899999999999999</v>
      </c>
      <c r="H157" s="93">
        <f t="shared" si="111"/>
        <v>2954.6835315922472</v>
      </c>
      <c r="I157" s="90">
        <f t="shared" si="111"/>
        <v>2247329</v>
      </c>
      <c r="J157" s="90">
        <f t="shared" si="111"/>
        <v>2174046</v>
      </c>
      <c r="K157" s="90">
        <f t="shared" si="111"/>
        <v>-73283</v>
      </c>
      <c r="L157" s="90">
        <f t="shared" si="111"/>
        <v>7552</v>
      </c>
      <c r="M157" s="90">
        <f t="shared" si="111"/>
        <v>0</v>
      </c>
      <c r="N157" s="90">
        <f t="shared" si="111"/>
        <v>59622</v>
      </c>
      <c r="O157" s="90">
        <f t="shared" si="111"/>
        <v>61227</v>
      </c>
      <c r="P157" s="90">
        <f t="shared" si="111"/>
        <v>3270</v>
      </c>
      <c r="Q157" s="90">
        <f t="shared" si="111"/>
        <v>30150</v>
      </c>
      <c r="R157" s="90">
        <f t="shared" si="111"/>
        <v>10588</v>
      </c>
      <c r="S157" s="90">
        <f t="shared" si="111"/>
        <v>9035</v>
      </c>
      <c r="T157" s="90">
        <f t="shared" si="111"/>
        <v>4529536</v>
      </c>
      <c r="U157" s="91"/>
      <c r="V157" s="117"/>
      <c r="W157" s="74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6"/>
    </row>
    <row r="158" spans="1:42" s="77" customFormat="1">
      <c r="A158" s="81" t="s">
        <v>29</v>
      </c>
      <c r="B158" s="72"/>
      <c r="C158" s="92"/>
      <c r="D158" s="92"/>
      <c r="E158" s="92"/>
      <c r="F158" s="92"/>
      <c r="G158" s="92"/>
      <c r="H158" s="9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3"/>
      <c r="V158" s="117"/>
      <c r="W158" s="74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6"/>
    </row>
    <row r="159" spans="1:42" s="77" customFormat="1">
      <c r="A159" s="78" t="s">
        <v>33</v>
      </c>
      <c r="B159" s="72">
        <v>10023.74</v>
      </c>
      <c r="C159" s="92">
        <v>34.9</v>
      </c>
      <c r="D159" s="92">
        <v>0</v>
      </c>
      <c r="E159" s="92">
        <v>0</v>
      </c>
      <c r="F159" s="92">
        <v>0.54</v>
      </c>
      <c r="G159" s="92">
        <v>0</v>
      </c>
      <c r="H159" s="92">
        <f>SUM(C159:G159)</f>
        <v>35.44</v>
      </c>
      <c r="I159" s="72">
        <f>14670-5623</f>
        <v>9047</v>
      </c>
      <c r="J159" s="72">
        <v>0</v>
      </c>
      <c r="K159" s="72">
        <f t="shared" si="99"/>
        <v>-9047</v>
      </c>
      <c r="L159" s="72">
        <v>800</v>
      </c>
      <c r="M159" s="72">
        <v>0</v>
      </c>
      <c r="N159" s="72">
        <v>17</v>
      </c>
      <c r="O159" s="72"/>
      <c r="P159" s="72">
        <v>160</v>
      </c>
      <c r="Q159" s="72">
        <v>0</v>
      </c>
      <c r="R159" s="72">
        <v>0</v>
      </c>
      <c r="S159" s="72">
        <v>0</v>
      </c>
      <c r="T159" s="72">
        <f>SUM(I159:S159)</f>
        <v>977</v>
      </c>
      <c r="U159" s="73" t="s">
        <v>330</v>
      </c>
      <c r="V159" s="117"/>
      <c r="W159" s="74"/>
      <c r="X159" s="75">
        <f t="shared" ref="X159:X173" si="112">+C159/$B159</f>
        <v>3.4817343626231327E-3</v>
      </c>
      <c r="Y159" s="75">
        <f t="shared" ref="Y159:Y173" si="113">+D159/$B159</f>
        <v>0</v>
      </c>
      <c r="Z159" s="75">
        <f t="shared" ref="Z159:Z173" si="114">+E159/$B159</f>
        <v>0</v>
      </c>
      <c r="AA159" s="75">
        <f t="shared" ref="AA159:AA173" si="115">+F159/$B159</f>
        <v>5.3872107616518387E-5</v>
      </c>
      <c r="AB159" s="75">
        <f t="shared" ref="AB159:AB173" si="116">+G159/$B159</f>
        <v>0</v>
      </c>
      <c r="AC159" s="75">
        <f t="shared" ref="AC159:AC173" si="117">+H159/$B159</f>
        <v>3.5356064702396508E-3</v>
      </c>
      <c r="AD159" s="75">
        <f t="shared" ref="AD159:AD173" si="118">+I159/$B159</f>
        <v>0.90255732890118856</v>
      </c>
      <c r="AE159" s="75">
        <f t="shared" ref="AE159:AM176" si="119">+L159/$B159</f>
        <v>7.9810529802249466E-2</v>
      </c>
      <c r="AF159" s="75">
        <f t="shared" si="119"/>
        <v>0</v>
      </c>
      <c r="AG159" s="75">
        <f t="shared" si="119"/>
        <v>1.695973758297801E-3</v>
      </c>
      <c r="AH159" s="75">
        <f t="shared" si="119"/>
        <v>0</v>
      </c>
      <c r="AI159" s="75">
        <f t="shared" si="119"/>
        <v>1.5962105960449894E-2</v>
      </c>
      <c r="AJ159" s="75">
        <f t="shared" si="119"/>
        <v>0</v>
      </c>
      <c r="AK159" s="75">
        <f t="shared" si="119"/>
        <v>0</v>
      </c>
      <c r="AL159" s="75">
        <f t="shared" si="119"/>
        <v>0</v>
      </c>
      <c r="AM159" s="75">
        <f t="shared" si="119"/>
        <v>9.746860952099716E-2</v>
      </c>
      <c r="AN159" s="75"/>
      <c r="AO159" s="75"/>
      <c r="AP159" s="76" t="e">
        <f>+VLOOKUP($A159,#REF!,2,FALSE)</f>
        <v>#REF!</v>
      </c>
    </row>
    <row r="160" spans="1:42" s="77" customFormat="1" ht="65.25">
      <c r="A160" s="78" t="s">
        <v>90</v>
      </c>
      <c r="B160" s="72">
        <v>0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2">
        <f t="shared" ref="H160:H173" si="120">SUM(C160:G160)</f>
        <v>0</v>
      </c>
      <c r="I160" s="72">
        <v>0</v>
      </c>
      <c r="J160" s="72">
        <v>0</v>
      </c>
      <c r="K160" s="72">
        <f t="shared" si="99"/>
        <v>0</v>
      </c>
      <c r="L160" s="72">
        <v>0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72">
        <v>0</v>
      </c>
      <c r="S160" s="72">
        <v>0</v>
      </c>
      <c r="T160" s="72">
        <f t="shared" ref="T160:T173" si="121">SUM(I160:S160)</f>
        <v>0</v>
      </c>
      <c r="U160" s="73" t="s">
        <v>349</v>
      </c>
      <c r="V160" s="117"/>
      <c r="W160" s="74"/>
      <c r="X160" s="75" t="e">
        <f t="shared" si="112"/>
        <v>#DIV/0!</v>
      </c>
      <c r="Y160" s="75" t="e">
        <f t="shared" si="113"/>
        <v>#DIV/0!</v>
      </c>
      <c r="Z160" s="75" t="e">
        <f t="shared" si="114"/>
        <v>#DIV/0!</v>
      </c>
      <c r="AA160" s="75" t="e">
        <f t="shared" si="115"/>
        <v>#DIV/0!</v>
      </c>
      <c r="AB160" s="75" t="e">
        <f t="shared" si="116"/>
        <v>#DIV/0!</v>
      </c>
      <c r="AC160" s="75" t="e">
        <f t="shared" si="117"/>
        <v>#DIV/0!</v>
      </c>
      <c r="AD160" s="75" t="e">
        <f t="shared" si="118"/>
        <v>#DIV/0!</v>
      </c>
      <c r="AE160" s="75" t="e">
        <f t="shared" si="119"/>
        <v>#DIV/0!</v>
      </c>
      <c r="AF160" s="75" t="e">
        <f t="shared" si="119"/>
        <v>#DIV/0!</v>
      </c>
      <c r="AG160" s="75" t="e">
        <f t="shared" si="119"/>
        <v>#DIV/0!</v>
      </c>
      <c r="AH160" s="75" t="e">
        <f t="shared" si="119"/>
        <v>#DIV/0!</v>
      </c>
      <c r="AI160" s="75" t="e">
        <f t="shared" si="119"/>
        <v>#DIV/0!</v>
      </c>
      <c r="AJ160" s="75" t="e">
        <f t="shared" si="119"/>
        <v>#DIV/0!</v>
      </c>
      <c r="AK160" s="75" t="e">
        <f t="shared" si="119"/>
        <v>#DIV/0!</v>
      </c>
      <c r="AL160" s="75" t="e">
        <f t="shared" si="119"/>
        <v>#DIV/0!</v>
      </c>
      <c r="AM160" s="75" t="e">
        <f t="shared" si="119"/>
        <v>#DIV/0!</v>
      </c>
      <c r="AN160" s="75"/>
      <c r="AO160" s="75"/>
      <c r="AP160" s="76" t="e">
        <f>+VLOOKUP($A160,#REF!,2,FALSE)</f>
        <v>#REF!</v>
      </c>
    </row>
    <row r="161" spans="1:42" s="77" customFormat="1">
      <c r="A161" s="78" t="s">
        <v>193</v>
      </c>
      <c r="B161" s="72">
        <v>22415.129999999997</v>
      </c>
      <c r="C161" s="92">
        <v>3.2534343878400001</v>
      </c>
      <c r="D161" s="94">
        <v>0</v>
      </c>
      <c r="E161" s="94">
        <v>0</v>
      </c>
      <c r="F161" s="94">
        <v>0</v>
      </c>
      <c r="G161" s="94">
        <v>0</v>
      </c>
      <c r="H161" s="92">
        <f t="shared" si="120"/>
        <v>3.2534343878400001</v>
      </c>
      <c r="I161" s="72">
        <v>0</v>
      </c>
      <c r="J161" s="72">
        <v>0</v>
      </c>
      <c r="K161" s="72">
        <f t="shared" si="99"/>
        <v>0</v>
      </c>
      <c r="L161" s="72">
        <v>0</v>
      </c>
      <c r="M161" s="72">
        <v>0</v>
      </c>
      <c r="N161" s="72">
        <v>0</v>
      </c>
      <c r="O161" s="72"/>
      <c r="P161" s="72">
        <v>5166</v>
      </c>
      <c r="Q161" s="72">
        <v>0</v>
      </c>
      <c r="R161" s="72">
        <v>0</v>
      </c>
      <c r="S161" s="72">
        <v>0</v>
      </c>
      <c r="T161" s="72">
        <f t="shared" si="121"/>
        <v>5166</v>
      </c>
      <c r="U161" s="73" t="s">
        <v>330</v>
      </c>
      <c r="V161" s="117"/>
      <c r="W161" s="74"/>
      <c r="X161" s="75">
        <f t="shared" si="112"/>
        <v>1.4514456921909443E-4</v>
      </c>
      <c r="Y161" s="75">
        <f t="shared" si="113"/>
        <v>0</v>
      </c>
      <c r="Z161" s="75">
        <f t="shared" si="114"/>
        <v>0</v>
      </c>
      <c r="AA161" s="75">
        <f t="shared" si="115"/>
        <v>0</v>
      </c>
      <c r="AB161" s="75">
        <f t="shared" si="116"/>
        <v>0</v>
      </c>
      <c r="AC161" s="75">
        <f t="shared" si="117"/>
        <v>1.4514456921909443E-4</v>
      </c>
      <c r="AD161" s="75">
        <f t="shared" si="118"/>
        <v>0</v>
      </c>
      <c r="AE161" s="75">
        <f t="shared" si="119"/>
        <v>0</v>
      </c>
      <c r="AF161" s="75">
        <f t="shared" si="119"/>
        <v>0</v>
      </c>
      <c r="AG161" s="75">
        <f t="shared" si="119"/>
        <v>0</v>
      </c>
      <c r="AH161" s="75">
        <f t="shared" si="119"/>
        <v>0</v>
      </c>
      <c r="AI161" s="75">
        <f t="shared" si="119"/>
        <v>0.23046933031394423</v>
      </c>
      <c r="AJ161" s="75">
        <f t="shared" si="119"/>
        <v>0</v>
      </c>
      <c r="AK161" s="75">
        <f t="shared" si="119"/>
        <v>0</v>
      </c>
      <c r="AL161" s="75">
        <f t="shared" si="119"/>
        <v>0</v>
      </c>
      <c r="AM161" s="75">
        <f t="shared" si="119"/>
        <v>0.23046933031394423</v>
      </c>
      <c r="AN161" s="75"/>
      <c r="AO161" s="75"/>
      <c r="AP161" s="76" t="e">
        <f>+VLOOKUP($A161,#REF!,2,FALSE)</f>
        <v>#REF!</v>
      </c>
    </row>
    <row r="162" spans="1:42" s="77" customFormat="1" ht="43.5">
      <c r="A162" s="79" t="s">
        <v>225</v>
      </c>
      <c r="B162" s="72">
        <v>0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92">
        <f t="shared" si="120"/>
        <v>0</v>
      </c>
      <c r="I162" s="72">
        <v>0</v>
      </c>
      <c r="J162" s="72">
        <v>0</v>
      </c>
      <c r="K162" s="72">
        <f t="shared" si="99"/>
        <v>0</v>
      </c>
      <c r="L162" s="72">
        <v>0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72">
        <v>0</v>
      </c>
      <c r="S162" s="72">
        <v>0</v>
      </c>
      <c r="T162" s="72">
        <f t="shared" si="121"/>
        <v>0</v>
      </c>
      <c r="U162" s="73" t="s">
        <v>350</v>
      </c>
      <c r="V162" s="117"/>
      <c r="W162" s="74"/>
      <c r="X162" s="75" t="e">
        <f t="shared" si="112"/>
        <v>#DIV/0!</v>
      </c>
      <c r="Y162" s="75" t="e">
        <f t="shared" si="113"/>
        <v>#DIV/0!</v>
      </c>
      <c r="Z162" s="75" t="e">
        <f t="shared" si="114"/>
        <v>#DIV/0!</v>
      </c>
      <c r="AA162" s="75" t="e">
        <f t="shared" si="115"/>
        <v>#DIV/0!</v>
      </c>
      <c r="AB162" s="75" t="e">
        <f t="shared" si="116"/>
        <v>#DIV/0!</v>
      </c>
      <c r="AC162" s="75" t="e">
        <f t="shared" si="117"/>
        <v>#DIV/0!</v>
      </c>
      <c r="AD162" s="75" t="e">
        <f t="shared" si="118"/>
        <v>#DIV/0!</v>
      </c>
      <c r="AE162" s="75" t="e">
        <f t="shared" si="119"/>
        <v>#DIV/0!</v>
      </c>
      <c r="AF162" s="75" t="e">
        <f t="shared" si="119"/>
        <v>#DIV/0!</v>
      </c>
      <c r="AG162" s="75" t="e">
        <f t="shared" si="119"/>
        <v>#DIV/0!</v>
      </c>
      <c r="AH162" s="75" t="e">
        <f t="shared" si="119"/>
        <v>#DIV/0!</v>
      </c>
      <c r="AI162" s="75" t="e">
        <f t="shared" si="119"/>
        <v>#DIV/0!</v>
      </c>
      <c r="AJ162" s="75" t="e">
        <f t="shared" si="119"/>
        <v>#DIV/0!</v>
      </c>
      <c r="AK162" s="75" t="e">
        <f t="shared" si="119"/>
        <v>#DIV/0!</v>
      </c>
      <c r="AL162" s="75" t="e">
        <f t="shared" si="119"/>
        <v>#DIV/0!</v>
      </c>
      <c r="AM162" s="75" t="e">
        <f t="shared" si="119"/>
        <v>#DIV/0!</v>
      </c>
      <c r="AN162" s="75"/>
      <c r="AO162" s="75"/>
      <c r="AP162" s="76" t="e">
        <f>+VLOOKUP($A162,#REF!,2,FALSE)</f>
        <v>#REF!</v>
      </c>
    </row>
    <row r="163" spans="1:42" s="77" customFormat="1">
      <c r="A163" s="120" t="s">
        <v>35</v>
      </c>
      <c r="B163" s="72">
        <v>0</v>
      </c>
      <c r="C163" s="94">
        <v>0</v>
      </c>
      <c r="D163" s="94">
        <v>250</v>
      </c>
      <c r="E163" s="94">
        <v>0</v>
      </c>
      <c r="F163" s="94">
        <v>300</v>
      </c>
      <c r="G163" s="94">
        <v>0</v>
      </c>
      <c r="H163" s="92">
        <f t="shared" si="120"/>
        <v>550</v>
      </c>
      <c r="I163" s="72">
        <v>0</v>
      </c>
      <c r="J163" s="72">
        <v>0</v>
      </c>
      <c r="K163" s="72">
        <f t="shared" si="99"/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f t="shared" si="121"/>
        <v>0</v>
      </c>
      <c r="U163" s="73" t="s">
        <v>330</v>
      </c>
      <c r="V163" s="117"/>
      <c r="W163" s="74"/>
      <c r="X163" s="75" t="e">
        <f t="shared" si="112"/>
        <v>#DIV/0!</v>
      </c>
      <c r="Y163" s="75" t="e">
        <f t="shared" si="113"/>
        <v>#DIV/0!</v>
      </c>
      <c r="Z163" s="75" t="e">
        <f t="shared" si="114"/>
        <v>#DIV/0!</v>
      </c>
      <c r="AA163" s="75" t="e">
        <f t="shared" si="115"/>
        <v>#DIV/0!</v>
      </c>
      <c r="AB163" s="75" t="e">
        <f t="shared" si="116"/>
        <v>#DIV/0!</v>
      </c>
      <c r="AC163" s="75" t="e">
        <f t="shared" si="117"/>
        <v>#DIV/0!</v>
      </c>
      <c r="AD163" s="75" t="e">
        <f t="shared" si="118"/>
        <v>#DIV/0!</v>
      </c>
      <c r="AE163" s="75" t="e">
        <f t="shared" si="119"/>
        <v>#DIV/0!</v>
      </c>
      <c r="AF163" s="75" t="e">
        <f t="shared" si="119"/>
        <v>#DIV/0!</v>
      </c>
      <c r="AG163" s="75" t="e">
        <f t="shared" si="119"/>
        <v>#DIV/0!</v>
      </c>
      <c r="AH163" s="75" t="e">
        <f t="shared" si="119"/>
        <v>#DIV/0!</v>
      </c>
      <c r="AI163" s="75" t="e">
        <f t="shared" si="119"/>
        <v>#DIV/0!</v>
      </c>
      <c r="AJ163" s="75" t="e">
        <f t="shared" si="119"/>
        <v>#DIV/0!</v>
      </c>
      <c r="AK163" s="75" t="e">
        <f t="shared" si="119"/>
        <v>#DIV/0!</v>
      </c>
      <c r="AL163" s="75" t="e">
        <f t="shared" si="119"/>
        <v>#DIV/0!</v>
      </c>
      <c r="AM163" s="75" t="e">
        <f t="shared" si="119"/>
        <v>#DIV/0!</v>
      </c>
      <c r="AN163" s="75"/>
      <c r="AO163" s="75"/>
      <c r="AP163" s="76" t="e">
        <f>+VLOOKUP($A163,#REF!,2,FALSE)</f>
        <v>#REF!</v>
      </c>
    </row>
    <row r="164" spans="1:42" s="77" customFormat="1">
      <c r="A164" s="79" t="s">
        <v>34</v>
      </c>
      <c r="B164" s="72">
        <v>199750</v>
      </c>
      <c r="C164" s="92">
        <v>220</v>
      </c>
      <c r="D164" s="94">
        <v>26</v>
      </c>
      <c r="E164" s="94">
        <v>0</v>
      </c>
      <c r="F164" s="94">
        <v>130</v>
      </c>
      <c r="G164" s="94">
        <v>0</v>
      </c>
      <c r="H164" s="92">
        <f t="shared" si="120"/>
        <v>376</v>
      </c>
      <c r="I164" s="72">
        <v>78490</v>
      </c>
      <c r="J164" s="72">
        <v>100724</v>
      </c>
      <c r="K164" s="72">
        <f t="shared" si="99"/>
        <v>22234</v>
      </c>
      <c r="L164" s="72">
        <v>6420</v>
      </c>
      <c r="M164" s="72">
        <v>18360</v>
      </c>
      <c r="N164" s="72">
        <v>5720</v>
      </c>
      <c r="O164" s="72">
        <v>1050</v>
      </c>
      <c r="P164" s="72">
        <v>54380</v>
      </c>
      <c r="Q164" s="72">
        <v>4490</v>
      </c>
      <c r="R164" s="72">
        <v>2590</v>
      </c>
      <c r="S164" s="72">
        <v>6670</v>
      </c>
      <c r="T164" s="72">
        <f t="shared" si="121"/>
        <v>301128</v>
      </c>
      <c r="U164" s="73" t="s">
        <v>330</v>
      </c>
      <c r="V164" s="117"/>
      <c r="W164" s="74"/>
      <c r="X164" s="75">
        <f t="shared" si="112"/>
        <v>1.1013767209011264E-3</v>
      </c>
      <c r="Y164" s="75">
        <f t="shared" si="113"/>
        <v>1.3016270337922402E-4</v>
      </c>
      <c r="Z164" s="75">
        <f t="shared" si="114"/>
        <v>0</v>
      </c>
      <c r="AA164" s="75">
        <f t="shared" si="115"/>
        <v>6.5081351689612018E-4</v>
      </c>
      <c r="AB164" s="75">
        <f t="shared" si="116"/>
        <v>0</v>
      </c>
      <c r="AC164" s="75">
        <f t="shared" si="117"/>
        <v>1.8823529411764706E-3</v>
      </c>
      <c r="AD164" s="75">
        <f t="shared" si="118"/>
        <v>0.39294117647058824</v>
      </c>
      <c r="AE164" s="75">
        <f t="shared" si="119"/>
        <v>3.2140175219023778E-2</v>
      </c>
      <c r="AF164" s="75">
        <f t="shared" si="119"/>
        <v>9.1914893617021279E-2</v>
      </c>
      <c r="AG164" s="75">
        <f t="shared" si="119"/>
        <v>2.8635794743429286E-2</v>
      </c>
      <c r="AH164" s="75">
        <f t="shared" si="119"/>
        <v>5.2565707133917393E-3</v>
      </c>
      <c r="AI164" s="75">
        <f t="shared" si="119"/>
        <v>0.27224030037546931</v>
      </c>
      <c r="AJ164" s="75">
        <f t="shared" si="119"/>
        <v>2.2478097622027536E-2</v>
      </c>
      <c r="AK164" s="75">
        <f t="shared" si="119"/>
        <v>1.2966207759699625E-2</v>
      </c>
      <c r="AL164" s="75">
        <f t="shared" si="119"/>
        <v>3.3391739674593239E-2</v>
      </c>
      <c r="AM164" s="75">
        <f t="shared" si="119"/>
        <v>1.5075244055068837</v>
      </c>
      <c r="AN164" s="75"/>
      <c r="AO164" s="75"/>
      <c r="AP164" s="76" t="e">
        <f>+VLOOKUP($A164,#REF!,2,FALSE)</f>
        <v>#REF!</v>
      </c>
    </row>
    <row r="165" spans="1:42" s="77" customFormat="1">
      <c r="A165" s="79" t="s">
        <v>37</v>
      </c>
      <c r="B165" s="72">
        <v>279812.5</v>
      </c>
      <c r="C165" s="92">
        <v>272.37056257152005</v>
      </c>
      <c r="D165" s="94">
        <v>32.5</v>
      </c>
      <c r="E165" s="94">
        <v>0</v>
      </c>
      <c r="F165" s="94">
        <v>32.5</v>
      </c>
      <c r="G165" s="94">
        <v>0</v>
      </c>
      <c r="H165" s="92">
        <f t="shared" si="120"/>
        <v>337.37056257152005</v>
      </c>
      <c r="I165" s="72">
        <f>16060-1</f>
        <v>16059</v>
      </c>
      <c r="J165" s="72">
        <v>16060</v>
      </c>
      <c r="K165" s="72">
        <f t="shared" si="99"/>
        <v>1</v>
      </c>
      <c r="L165" s="72">
        <v>43739</v>
      </c>
      <c r="M165" s="72">
        <v>49236</v>
      </c>
      <c r="N165" s="72">
        <v>12940</v>
      </c>
      <c r="O165" s="72">
        <v>85579</v>
      </c>
      <c r="P165" s="72">
        <v>26878</v>
      </c>
      <c r="Q165" s="72">
        <v>13765</v>
      </c>
      <c r="R165" s="72">
        <v>3635</v>
      </c>
      <c r="S165" s="72">
        <v>27981</v>
      </c>
      <c r="T165" s="72">
        <f t="shared" si="121"/>
        <v>295873</v>
      </c>
      <c r="U165" s="73" t="s">
        <v>330</v>
      </c>
      <c r="V165" s="117"/>
      <c r="W165" s="74"/>
      <c r="X165" s="75">
        <f t="shared" si="112"/>
        <v>9.7340384211398723E-4</v>
      </c>
      <c r="Y165" s="75">
        <f t="shared" si="113"/>
        <v>1.1614920705829797E-4</v>
      </c>
      <c r="Z165" s="75">
        <f t="shared" si="114"/>
        <v>0</v>
      </c>
      <c r="AA165" s="75">
        <f t="shared" si="115"/>
        <v>1.1614920705829797E-4</v>
      </c>
      <c r="AB165" s="75">
        <f t="shared" si="116"/>
        <v>0</v>
      </c>
      <c r="AC165" s="75">
        <f t="shared" si="117"/>
        <v>1.2057022562305831E-3</v>
      </c>
      <c r="AD165" s="75">
        <f t="shared" si="118"/>
        <v>5.7392003573821758E-2</v>
      </c>
      <c r="AE165" s="75">
        <f t="shared" si="119"/>
        <v>0.15631538976993523</v>
      </c>
      <c r="AF165" s="75">
        <f t="shared" si="119"/>
        <v>0.17596068796068795</v>
      </c>
      <c r="AG165" s="75">
        <f t="shared" si="119"/>
        <v>4.624525351798079E-2</v>
      </c>
      <c r="AH165" s="75">
        <f t="shared" si="119"/>
        <v>0.30584409202591023</v>
      </c>
      <c r="AI165" s="75">
        <f t="shared" si="119"/>
        <v>9.605718114809024E-2</v>
      </c>
      <c r="AJ165" s="75">
        <f t="shared" si="119"/>
        <v>4.9193656466383739E-2</v>
      </c>
      <c r="AK165" s="75">
        <f t="shared" si="119"/>
        <v>1.2990842081751173E-2</v>
      </c>
      <c r="AL165" s="75">
        <f t="shared" si="119"/>
        <v>9.9999106544561095E-2</v>
      </c>
      <c r="AM165" s="75">
        <f t="shared" si="119"/>
        <v>1.0573973643064551</v>
      </c>
      <c r="AN165" s="75"/>
      <c r="AO165" s="75"/>
      <c r="AP165" s="76" t="e">
        <f>+VLOOKUP($A165,#REF!,2,FALSE)</f>
        <v>#REF!</v>
      </c>
    </row>
    <row r="166" spans="1:42" s="77" customFormat="1">
      <c r="A166" s="79" t="s">
        <v>195</v>
      </c>
      <c r="B166" s="72">
        <v>224750</v>
      </c>
      <c r="C166" s="92">
        <v>230.08826887200004</v>
      </c>
      <c r="D166" s="94">
        <v>0</v>
      </c>
      <c r="E166" s="94">
        <v>0</v>
      </c>
      <c r="F166" s="94">
        <v>0</v>
      </c>
      <c r="G166" s="94">
        <v>0</v>
      </c>
      <c r="H166" s="92">
        <f t="shared" si="120"/>
        <v>230.08826887200004</v>
      </c>
      <c r="I166" s="72">
        <v>45475</v>
      </c>
      <c r="J166" s="72">
        <v>45475</v>
      </c>
      <c r="K166" s="72">
        <f t="shared" si="99"/>
        <v>0</v>
      </c>
      <c r="L166" s="72">
        <v>1200</v>
      </c>
      <c r="M166" s="72">
        <v>15010</v>
      </c>
      <c r="N166" s="72">
        <v>64260</v>
      </c>
      <c r="O166" s="72">
        <v>0</v>
      </c>
      <c r="P166" s="72">
        <v>15235</v>
      </c>
      <c r="Q166" s="72">
        <v>12600</v>
      </c>
      <c r="R166" s="72">
        <v>19680</v>
      </c>
      <c r="S166" s="72">
        <v>13450</v>
      </c>
      <c r="T166" s="72">
        <f t="shared" si="121"/>
        <v>232385</v>
      </c>
      <c r="U166" s="73" t="s">
        <v>330</v>
      </c>
      <c r="V166" s="117"/>
      <c r="W166" s="74"/>
      <c r="X166" s="75">
        <f t="shared" si="112"/>
        <v>1.023752030576196E-3</v>
      </c>
      <c r="Y166" s="75">
        <f t="shared" si="113"/>
        <v>0</v>
      </c>
      <c r="Z166" s="75">
        <f t="shared" si="114"/>
        <v>0</v>
      </c>
      <c r="AA166" s="75">
        <f t="shared" si="115"/>
        <v>0</v>
      </c>
      <c r="AB166" s="75">
        <f t="shared" si="116"/>
        <v>0</v>
      </c>
      <c r="AC166" s="75">
        <f t="shared" si="117"/>
        <v>1.023752030576196E-3</v>
      </c>
      <c r="AD166" s="75">
        <f t="shared" si="118"/>
        <v>0.20233592880978865</v>
      </c>
      <c r="AE166" s="75">
        <f t="shared" si="119"/>
        <v>5.3392658509454948E-3</v>
      </c>
      <c r="AF166" s="75">
        <f t="shared" si="119"/>
        <v>6.6785317018909898E-2</v>
      </c>
      <c r="AG166" s="75">
        <f t="shared" si="119"/>
        <v>0.28591768631813125</v>
      </c>
      <c r="AH166" s="75">
        <f t="shared" si="119"/>
        <v>0</v>
      </c>
      <c r="AI166" s="75">
        <f t="shared" si="119"/>
        <v>6.7786429365962186E-2</v>
      </c>
      <c r="AJ166" s="75">
        <f t="shared" si="119"/>
        <v>5.6062291434927698E-2</v>
      </c>
      <c r="AK166" s="75">
        <f t="shared" si="119"/>
        <v>8.7563959955506115E-2</v>
      </c>
      <c r="AL166" s="75">
        <f t="shared" si="119"/>
        <v>5.9844271412680755E-2</v>
      </c>
      <c r="AM166" s="75">
        <f t="shared" si="119"/>
        <v>1.0339710789766408</v>
      </c>
      <c r="AN166" s="75"/>
      <c r="AO166" s="75"/>
      <c r="AP166" s="76" t="e">
        <f>+VLOOKUP($A166,#REF!,2,FALSE)</f>
        <v>#REF!</v>
      </c>
    </row>
    <row r="167" spans="1:42" s="77" customFormat="1">
      <c r="A167" s="79" t="s">
        <v>197</v>
      </c>
      <c r="B167" s="72">
        <v>175562.5</v>
      </c>
      <c r="C167" s="92">
        <v>120.5</v>
      </c>
      <c r="D167" s="94">
        <v>15.1</v>
      </c>
      <c r="E167" s="94">
        <v>2.6</v>
      </c>
      <c r="F167" s="94">
        <v>0</v>
      </c>
      <c r="G167" s="94">
        <v>0</v>
      </c>
      <c r="H167" s="92">
        <f t="shared" si="120"/>
        <v>138.19999999999999</v>
      </c>
      <c r="I167" s="72">
        <v>49276</v>
      </c>
      <c r="J167" s="72">
        <v>49276</v>
      </c>
      <c r="K167" s="72">
        <f t="shared" si="99"/>
        <v>0</v>
      </c>
      <c r="L167" s="72">
        <v>6342</v>
      </c>
      <c r="M167" s="72">
        <v>2908</v>
      </c>
      <c r="N167" s="72">
        <f>90355-35870</f>
        <v>54485</v>
      </c>
      <c r="O167" s="72">
        <v>3734</v>
      </c>
      <c r="P167" s="72">
        <v>5151</v>
      </c>
      <c r="Q167" s="72">
        <v>5638</v>
      </c>
      <c r="R167" s="72">
        <v>5689</v>
      </c>
      <c r="S167" s="72">
        <v>42339</v>
      </c>
      <c r="T167" s="72">
        <f t="shared" si="121"/>
        <v>224838</v>
      </c>
      <c r="U167" s="73" t="s">
        <v>330</v>
      </c>
      <c r="V167" s="117"/>
      <c r="W167" s="74"/>
      <c r="X167" s="75">
        <f t="shared" si="112"/>
        <v>6.8636525453898188E-4</v>
      </c>
      <c r="Y167" s="75">
        <f t="shared" si="113"/>
        <v>8.6009255962976152E-5</v>
      </c>
      <c r="Z167" s="75">
        <f t="shared" si="114"/>
        <v>1.4809540761836953E-5</v>
      </c>
      <c r="AA167" s="75">
        <f t="shared" si="115"/>
        <v>0</v>
      </c>
      <c r="AB167" s="75">
        <f t="shared" si="116"/>
        <v>0</v>
      </c>
      <c r="AC167" s="75">
        <f t="shared" si="117"/>
        <v>7.8718405126379488E-4</v>
      </c>
      <c r="AD167" s="75">
        <f t="shared" si="118"/>
        <v>0.28067497330010682</v>
      </c>
      <c r="AE167" s="75">
        <f t="shared" si="119"/>
        <v>3.6123887504449982E-2</v>
      </c>
      <c r="AF167" s="75">
        <f t="shared" si="119"/>
        <v>1.6563901744393022E-2</v>
      </c>
      <c r="AG167" s="75">
        <f t="shared" si="119"/>
        <v>0.31034531861872555</v>
      </c>
      <c r="AH167" s="75">
        <f t="shared" si="119"/>
        <v>2.12687789248843E-2</v>
      </c>
      <c r="AI167" s="75">
        <f t="shared" si="119"/>
        <v>2.9339978640085439E-2</v>
      </c>
      <c r="AJ167" s="75">
        <f t="shared" si="119"/>
        <v>3.2113919544321821E-2</v>
      </c>
      <c r="AK167" s="75">
        <f t="shared" si="119"/>
        <v>3.240441438234247E-2</v>
      </c>
      <c r="AL167" s="75">
        <f t="shared" si="119"/>
        <v>0.24116197935208258</v>
      </c>
      <c r="AM167" s="75">
        <f t="shared" si="119"/>
        <v>1.2806721253114988</v>
      </c>
      <c r="AN167" s="75"/>
      <c r="AO167" s="75"/>
      <c r="AP167" s="76" t="e">
        <f>+VLOOKUP($A167,#REF!,2,FALSE)</f>
        <v>#REF!</v>
      </c>
    </row>
    <row r="168" spans="1:42" s="77" customFormat="1">
      <c r="A168" s="78" t="s">
        <v>196</v>
      </c>
      <c r="B168" s="72">
        <v>258375</v>
      </c>
      <c r="C168" s="92">
        <v>387.79146856800003</v>
      </c>
      <c r="D168" s="94">
        <v>69.141300000000001</v>
      </c>
      <c r="E168" s="94">
        <v>0</v>
      </c>
      <c r="F168" s="94">
        <v>331.12800000000004</v>
      </c>
      <c r="G168" s="94">
        <v>0</v>
      </c>
      <c r="H168" s="92">
        <f t="shared" si="120"/>
        <v>788.06076856800007</v>
      </c>
      <c r="I168" s="72">
        <v>144030</v>
      </c>
      <c r="J168" s="72">
        <v>164806</v>
      </c>
      <c r="K168" s="72">
        <f t="shared" si="99"/>
        <v>20776</v>
      </c>
      <c r="L168" s="72">
        <v>300</v>
      </c>
      <c r="M168" s="72">
        <v>3460</v>
      </c>
      <c r="N168" s="72">
        <v>61145</v>
      </c>
      <c r="O168" s="72">
        <v>0</v>
      </c>
      <c r="P168" s="72">
        <v>0</v>
      </c>
      <c r="Q168" s="72">
        <v>5795</v>
      </c>
      <c r="R168" s="72">
        <v>500</v>
      </c>
      <c r="S168" s="72">
        <v>300</v>
      </c>
      <c r="T168" s="72">
        <f t="shared" si="121"/>
        <v>401112</v>
      </c>
      <c r="U168" s="73" t="s">
        <v>330</v>
      </c>
      <c r="V168" s="117"/>
      <c r="W168" s="74"/>
      <c r="X168" s="75">
        <f t="shared" si="112"/>
        <v>1.500886187007257E-3</v>
      </c>
      <c r="Y168" s="75">
        <f t="shared" si="113"/>
        <v>2.6760058055152395E-4</v>
      </c>
      <c r="Z168" s="75">
        <f t="shared" si="114"/>
        <v>0</v>
      </c>
      <c r="AA168" s="75">
        <f t="shared" si="115"/>
        <v>1.281579100145138E-3</v>
      </c>
      <c r="AB168" s="75">
        <f t="shared" si="116"/>
        <v>0</v>
      </c>
      <c r="AC168" s="75">
        <f t="shared" si="117"/>
        <v>3.0500658677039189E-3</v>
      </c>
      <c r="AD168" s="75">
        <f t="shared" si="118"/>
        <v>0.55744557329462985</v>
      </c>
      <c r="AE168" s="75">
        <f t="shared" si="119"/>
        <v>1.1611030478955006E-3</v>
      </c>
      <c r="AF168" s="75">
        <f t="shared" si="119"/>
        <v>1.3391388485728108E-2</v>
      </c>
      <c r="AG168" s="75">
        <f t="shared" si="119"/>
        <v>0.23665215287856797</v>
      </c>
      <c r="AH168" s="75">
        <f t="shared" si="119"/>
        <v>0</v>
      </c>
      <c r="AI168" s="75">
        <f t="shared" si="119"/>
        <v>0</v>
      </c>
      <c r="AJ168" s="75">
        <f t="shared" si="119"/>
        <v>2.242864054184809E-2</v>
      </c>
      <c r="AK168" s="75">
        <f t="shared" si="119"/>
        <v>1.9351717464925011E-3</v>
      </c>
      <c r="AL168" s="75">
        <f t="shared" si="119"/>
        <v>1.1611030478955006E-3</v>
      </c>
      <c r="AM168" s="75">
        <f t="shared" si="119"/>
        <v>1.5524412191582002</v>
      </c>
      <c r="AN168" s="75"/>
      <c r="AO168" s="75"/>
      <c r="AP168" s="76" t="e">
        <f>+VLOOKUP($A168,#REF!,2,FALSE)</f>
        <v>#REF!</v>
      </c>
    </row>
    <row r="169" spans="1:42" s="77" customFormat="1">
      <c r="A169" s="78" t="s">
        <v>36</v>
      </c>
      <c r="B169" s="72">
        <v>244562.5</v>
      </c>
      <c r="C169" s="92">
        <v>396.54161819999996</v>
      </c>
      <c r="D169" s="94">
        <v>0</v>
      </c>
      <c r="E169" s="94">
        <v>0</v>
      </c>
      <c r="F169" s="94">
        <v>0</v>
      </c>
      <c r="G169" s="94">
        <v>0</v>
      </c>
      <c r="H169" s="92">
        <f t="shared" si="120"/>
        <v>396.54161819999996</v>
      </c>
      <c r="I169" s="72">
        <v>199195</v>
      </c>
      <c r="J169" s="72">
        <v>199195</v>
      </c>
      <c r="K169" s="72">
        <f t="shared" si="99"/>
        <v>0</v>
      </c>
      <c r="L169" s="72">
        <v>18</v>
      </c>
      <c r="M169" s="72">
        <v>8535</v>
      </c>
      <c r="N169" s="72">
        <v>5584</v>
      </c>
      <c r="O169" s="72">
        <v>6675</v>
      </c>
      <c r="P169" s="72">
        <v>18818</v>
      </c>
      <c r="Q169" s="72">
        <v>1381</v>
      </c>
      <c r="R169" s="72">
        <v>9</v>
      </c>
      <c r="S169" s="72">
        <v>1275</v>
      </c>
      <c r="T169" s="72">
        <f t="shared" si="121"/>
        <v>440685</v>
      </c>
      <c r="U169" s="73" t="s">
        <v>330</v>
      </c>
      <c r="V169" s="117"/>
      <c r="W169" s="74"/>
      <c r="X169" s="75">
        <f t="shared" si="112"/>
        <v>1.6214326325581395E-3</v>
      </c>
      <c r="Y169" s="75">
        <f t="shared" si="113"/>
        <v>0</v>
      </c>
      <c r="Z169" s="75">
        <f t="shared" si="114"/>
        <v>0</v>
      </c>
      <c r="AA169" s="75">
        <f t="shared" si="115"/>
        <v>0</v>
      </c>
      <c r="AB169" s="75">
        <f t="shared" si="116"/>
        <v>0</v>
      </c>
      <c r="AC169" s="75">
        <f t="shared" si="117"/>
        <v>1.6214326325581395E-3</v>
      </c>
      <c r="AD169" s="75">
        <f t="shared" si="118"/>
        <v>0.81449527216969075</v>
      </c>
      <c r="AE169" s="75">
        <f t="shared" si="119"/>
        <v>7.3600817786864296E-5</v>
      </c>
      <c r="AF169" s="75">
        <f t="shared" si="119"/>
        <v>3.4899054433938155E-2</v>
      </c>
      <c r="AG169" s="75">
        <f t="shared" si="119"/>
        <v>2.2832609251213904E-2</v>
      </c>
      <c r="AH169" s="75">
        <f t="shared" si="119"/>
        <v>2.7293636595962179E-2</v>
      </c>
      <c r="AI169" s="75">
        <f t="shared" si="119"/>
        <v>7.6945566061845133E-2</v>
      </c>
      <c r="AJ169" s="75">
        <f t="shared" si="119"/>
        <v>5.6468182979810891E-3</v>
      </c>
      <c r="AK169" s="75">
        <f t="shared" si="119"/>
        <v>3.6800408893432148E-5</v>
      </c>
      <c r="AL169" s="75">
        <f t="shared" si="119"/>
        <v>5.2133912599028878E-3</v>
      </c>
      <c r="AM169" s="75">
        <f t="shared" si="119"/>
        <v>1.8019320214669052</v>
      </c>
      <c r="AN169" s="75"/>
      <c r="AO169" s="75"/>
      <c r="AP169" s="76" t="e">
        <f>+VLOOKUP($A169,#REF!,2,FALSE)</f>
        <v>#REF!</v>
      </c>
    </row>
    <row r="170" spans="1:42" s="77" customFormat="1">
      <c r="A170" s="78" t="s">
        <v>38</v>
      </c>
      <c r="B170" s="72">
        <v>252250</v>
      </c>
      <c r="C170" s="92">
        <v>325.87101262800002</v>
      </c>
      <c r="D170" s="94">
        <v>2.8</v>
      </c>
      <c r="E170" s="94">
        <v>0</v>
      </c>
      <c r="F170" s="94">
        <v>0</v>
      </c>
      <c r="G170" s="94">
        <v>0</v>
      </c>
      <c r="H170" s="92">
        <f t="shared" si="120"/>
        <v>328.67101262800003</v>
      </c>
      <c r="I170" s="72">
        <v>108628</v>
      </c>
      <c r="J170" s="72">
        <v>108628</v>
      </c>
      <c r="K170" s="72">
        <f t="shared" si="99"/>
        <v>0</v>
      </c>
      <c r="L170" s="72">
        <v>15152</v>
      </c>
      <c r="M170" s="72">
        <v>7002</v>
      </c>
      <c r="N170" s="72">
        <v>6503</v>
      </c>
      <c r="O170" s="72">
        <v>0</v>
      </c>
      <c r="P170" s="72">
        <v>113283</v>
      </c>
      <c r="Q170" s="72">
        <v>663</v>
      </c>
      <c r="R170" s="72">
        <v>840</v>
      </c>
      <c r="S170" s="72">
        <v>129</v>
      </c>
      <c r="T170" s="72">
        <f t="shared" si="121"/>
        <v>360828</v>
      </c>
      <c r="U170" s="73" t="s">
        <v>330</v>
      </c>
      <c r="V170" s="117"/>
      <c r="W170" s="74"/>
      <c r="X170" s="75">
        <f t="shared" si="112"/>
        <v>1.2918573345014866E-3</v>
      </c>
      <c r="Y170" s="75">
        <f t="shared" si="113"/>
        <v>1.1100099108027749E-5</v>
      </c>
      <c r="Z170" s="75">
        <f t="shared" si="114"/>
        <v>0</v>
      </c>
      <c r="AA170" s="75">
        <f t="shared" si="115"/>
        <v>0</v>
      </c>
      <c r="AB170" s="75">
        <f t="shared" si="116"/>
        <v>0</v>
      </c>
      <c r="AC170" s="75">
        <f t="shared" si="117"/>
        <v>1.3029574336095144E-3</v>
      </c>
      <c r="AD170" s="75">
        <f t="shared" si="118"/>
        <v>0.43063627353815659</v>
      </c>
      <c r="AE170" s="75">
        <f t="shared" si="119"/>
        <v>6.0067393458870168E-2</v>
      </c>
      <c r="AF170" s="75">
        <f t="shared" si="119"/>
        <v>2.7758176412289396E-2</v>
      </c>
      <c r="AG170" s="75">
        <f t="shared" si="119"/>
        <v>2.5779980178394449E-2</v>
      </c>
      <c r="AH170" s="75">
        <f t="shared" si="119"/>
        <v>0</v>
      </c>
      <c r="AI170" s="75">
        <f t="shared" si="119"/>
        <v>0.44909018830525271</v>
      </c>
      <c r="AJ170" s="75">
        <f t="shared" si="119"/>
        <v>2.6283448959365709E-3</v>
      </c>
      <c r="AK170" s="75">
        <f t="shared" si="119"/>
        <v>3.3300297324083249E-3</v>
      </c>
      <c r="AL170" s="75">
        <f t="shared" si="119"/>
        <v>5.1139742319127848E-4</v>
      </c>
      <c r="AM170" s="75">
        <f t="shared" si="119"/>
        <v>1.4304380574826561</v>
      </c>
      <c r="AN170" s="75"/>
      <c r="AO170" s="75"/>
      <c r="AP170" s="76" t="e">
        <f>+VLOOKUP($A170,#REF!,2,FALSE)</f>
        <v>#REF!</v>
      </c>
    </row>
    <row r="171" spans="1:42" s="77" customFormat="1" ht="43.5">
      <c r="A171" s="78" t="s">
        <v>246</v>
      </c>
      <c r="B171" s="72">
        <v>310125</v>
      </c>
      <c r="C171" s="92">
        <v>394.48434261599999</v>
      </c>
      <c r="D171" s="94">
        <v>11.620000000000001</v>
      </c>
      <c r="E171" s="94">
        <v>0</v>
      </c>
      <c r="F171" s="94">
        <v>0</v>
      </c>
      <c r="G171" s="94">
        <v>0</v>
      </c>
      <c r="H171" s="92">
        <f t="shared" si="120"/>
        <v>406.104342616</v>
      </c>
      <c r="I171" s="72">
        <v>114726</v>
      </c>
      <c r="J171" s="72">
        <v>114726</v>
      </c>
      <c r="K171" s="72">
        <f t="shared" si="99"/>
        <v>0</v>
      </c>
      <c r="L171" s="72">
        <v>2924</v>
      </c>
      <c r="M171" s="72">
        <v>2798</v>
      </c>
      <c r="N171" s="72">
        <v>2317</v>
      </c>
      <c r="O171" s="72">
        <v>1919</v>
      </c>
      <c r="P171" s="72">
        <v>178002</v>
      </c>
      <c r="Q171" s="72">
        <v>4424</v>
      </c>
      <c r="R171" s="72">
        <v>3015</v>
      </c>
      <c r="S171" s="72">
        <v>0</v>
      </c>
      <c r="T171" s="72">
        <f t="shared" si="121"/>
        <v>424851</v>
      </c>
      <c r="U171" s="73" t="s">
        <v>331</v>
      </c>
      <c r="V171" s="117"/>
      <c r="W171" s="74"/>
      <c r="X171" s="75">
        <f t="shared" si="112"/>
        <v>1.27201722729867E-3</v>
      </c>
      <c r="Y171" s="75">
        <f t="shared" si="113"/>
        <v>3.7468762595727534E-5</v>
      </c>
      <c r="Z171" s="75">
        <f t="shared" si="114"/>
        <v>0</v>
      </c>
      <c r="AA171" s="75">
        <f t="shared" si="115"/>
        <v>0</v>
      </c>
      <c r="AB171" s="75">
        <f t="shared" si="116"/>
        <v>0</v>
      </c>
      <c r="AC171" s="75">
        <f t="shared" si="117"/>
        <v>1.3094859898943973E-3</v>
      </c>
      <c r="AD171" s="75">
        <f t="shared" si="118"/>
        <v>0.36993470374848852</v>
      </c>
      <c r="AE171" s="75">
        <f t="shared" si="119"/>
        <v>9.4284562676340191E-3</v>
      </c>
      <c r="AF171" s="75">
        <f t="shared" si="119"/>
        <v>9.0221684804514309E-3</v>
      </c>
      <c r="AG171" s="75">
        <f t="shared" si="119"/>
        <v>7.47118097541314E-3</v>
      </c>
      <c r="AH171" s="75">
        <f t="shared" si="119"/>
        <v>6.1878274889157594E-3</v>
      </c>
      <c r="AI171" s="75">
        <f t="shared" si="119"/>
        <v>0.57396856106408711</v>
      </c>
      <c r="AJ171" s="75">
        <f t="shared" si="119"/>
        <v>1.42652156388553E-2</v>
      </c>
      <c r="AK171" s="75">
        <f t="shared" si="119"/>
        <v>9.7218863361547767E-3</v>
      </c>
      <c r="AL171" s="75">
        <f t="shared" si="119"/>
        <v>0</v>
      </c>
      <c r="AM171" s="75">
        <f t="shared" si="119"/>
        <v>1.3699347037484886</v>
      </c>
      <c r="AN171" s="75"/>
      <c r="AO171" s="75"/>
      <c r="AP171" s="76" t="e">
        <f>+VLOOKUP($A171,#REF!,2,FALSE)</f>
        <v>#REF!</v>
      </c>
    </row>
    <row r="172" spans="1:42" s="77" customFormat="1" ht="65.25">
      <c r="A172" s="78" t="s">
        <v>91</v>
      </c>
      <c r="B172" s="72">
        <v>269188</v>
      </c>
      <c r="C172" s="92">
        <v>387.07681487119584</v>
      </c>
      <c r="D172" s="94">
        <v>1.4480000000000011</v>
      </c>
      <c r="E172" s="94">
        <v>0</v>
      </c>
      <c r="F172" s="94">
        <v>5.4300000000000015</v>
      </c>
      <c r="G172" s="94">
        <v>0</v>
      </c>
      <c r="H172" s="92">
        <f t="shared" si="120"/>
        <v>393.95481487119582</v>
      </c>
      <c r="I172" s="72">
        <f>125386-58475</f>
        <v>66911</v>
      </c>
      <c r="J172" s="72">
        <v>125386</v>
      </c>
      <c r="K172" s="72">
        <f t="shared" si="99"/>
        <v>58475</v>
      </c>
      <c r="L172" s="72">
        <v>0</v>
      </c>
      <c r="M172" s="72">
        <v>6500</v>
      </c>
      <c r="N172" s="72">
        <v>60811</v>
      </c>
      <c r="O172" s="72">
        <v>5361</v>
      </c>
      <c r="P172" s="72">
        <v>60811</v>
      </c>
      <c r="Q172" s="72">
        <v>14074</v>
      </c>
      <c r="R172" s="72">
        <v>52630</v>
      </c>
      <c r="S172" s="72">
        <v>2090</v>
      </c>
      <c r="T172" s="72">
        <f t="shared" si="121"/>
        <v>453049</v>
      </c>
      <c r="U172" s="73" t="s">
        <v>349</v>
      </c>
      <c r="V172" s="117"/>
      <c r="W172" s="74"/>
      <c r="X172" s="75">
        <f t="shared" si="112"/>
        <v>1.4379423112144518E-3</v>
      </c>
      <c r="Y172" s="75">
        <f t="shared" si="113"/>
        <v>5.3791402291335466E-6</v>
      </c>
      <c r="Z172" s="75">
        <f t="shared" si="114"/>
        <v>0</v>
      </c>
      <c r="AA172" s="75">
        <f t="shared" si="115"/>
        <v>2.0171775859250788E-5</v>
      </c>
      <c r="AB172" s="75">
        <f t="shared" si="116"/>
        <v>0</v>
      </c>
      <c r="AC172" s="75">
        <f t="shared" si="117"/>
        <v>1.463493227302836E-3</v>
      </c>
      <c r="AD172" s="75">
        <f t="shared" si="118"/>
        <v>0.24856605792234424</v>
      </c>
      <c r="AE172" s="75">
        <f t="shared" si="119"/>
        <v>0</v>
      </c>
      <c r="AF172" s="75">
        <f t="shared" si="119"/>
        <v>2.4146693017519354E-2</v>
      </c>
      <c r="AG172" s="75">
        <f t="shared" si="119"/>
        <v>0.22590531524436452</v>
      </c>
      <c r="AH172" s="75">
        <f t="shared" si="119"/>
        <v>1.9915449425680194E-2</v>
      </c>
      <c r="AI172" s="75">
        <f t="shared" si="119"/>
        <v>0.22590531524436452</v>
      </c>
      <c r="AJ172" s="75">
        <f t="shared" si="119"/>
        <v>5.2283162696702676E-2</v>
      </c>
      <c r="AK172" s="75">
        <f t="shared" si="119"/>
        <v>0.19551391592492978</v>
      </c>
      <c r="AL172" s="75">
        <f t="shared" si="119"/>
        <v>7.7640905240946847E-3</v>
      </c>
      <c r="AM172" s="75">
        <f t="shared" si="119"/>
        <v>1.6830207884452502</v>
      </c>
      <c r="AN172" s="75"/>
      <c r="AO172" s="75"/>
      <c r="AP172" s="76" t="e">
        <f>+VLOOKUP($A172,#REF!,2,FALSE)</f>
        <v>#REF!</v>
      </c>
    </row>
    <row r="173" spans="1:42" s="77" customFormat="1">
      <c r="A173" s="78" t="s">
        <v>194</v>
      </c>
      <c r="B173" s="72">
        <v>125500</v>
      </c>
      <c r="C173" s="92">
        <v>97</v>
      </c>
      <c r="D173" s="94">
        <v>15</v>
      </c>
      <c r="E173" s="94">
        <v>0</v>
      </c>
      <c r="F173" s="94">
        <v>0</v>
      </c>
      <c r="G173" s="94">
        <v>19</v>
      </c>
      <c r="H173" s="92">
        <f t="shared" si="120"/>
        <v>131</v>
      </c>
      <c r="I173" s="72">
        <v>3310</v>
      </c>
      <c r="J173" s="72">
        <v>3570</v>
      </c>
      <c r="K173" s="72">
        <f t="shared" si="99"/>
        <v>260</v>
      </c>
      <c r="L173" s="72">
        <v>100</v>
      </c>
      <c r="M173" s="72">
        <v>4450</v>
      </c>
      <c r="N173" s="72">
        <v>66590</v>
      </c>
      <c r="O173" s="72">
        <v>0</v>
      </c>
      <c r="P173" s="72">
        <v>0</v>
      </c>
      <c r="Q173" s="72">
        <v>36960</v>
      </c>
      <c r="R173" s="72">
        <v>9970</v>
      </c>
      <c r="S173" s="72">
        <v>510</v>
      </c>
      <c r="T173" s="72">
        <f t="shared" si="121"/>
        <v>125720</v>
      </c>
      <c r="U173" s="73" t="s">
        <v>330</v>
      </c>
      <c r="V173" s="117"/>
      <c r="W173" s="74"/>
      <c r="X173" s="75">
        <f t="shared" si="112"/>
        <v>7.7290836653386456E-4</v>
      </c>
      <c r="Y173" s="75">
        <f t="shared" si="113"/>
        <v>1.1952191235059761E-4</v>
      </c>
      <c r="Z173" s="75">
        <f t="shared" si="114"/>
        <v>0</v>
      </c>
      <c r="AA173" s="75">
        <f t="shared" si="115"/>
        <v>0</v>
      </c>
      <c r="AB173" s="75">
        <f t="shared" si="116"/>
        <v>1.5139442231075698E-4</v>
      </c>
      <c r="AC173" s="75">
        <f t="shared" si="117"/>
        <v>1.0438247011952191E-3</v>
      </c>
      <c r="AD173" s="75">
        <f t="shared" si="118"/>
        <v>2.6374501992031871E-2</v>
      </c>
      <c r="AE173" s="75">
        <f t="shared" si="119"/>
        <v>7.9681274900398409E-4</v>
      </c>
      <c r="AF173" s="75">
        <f t="shared" si="119"/>
        <v>3.545816733067729E-2</v>
      </c>
      <c r="AG173" s="75">
        <f t="shared" si="119"/>
        <v>0.53059760956175295</v>
      </c>
      <c r="AH173" s="75">
        <f t="shared" si="119"/>
        <v>0</v>
      </c>
      <c r="AI173" s="75">
        <f t="shared" si="119"/>
        <v>0</v>
      </c>
      <c r="AJ173" s="75">
        <f t="shared" si="119"/>
        <v>0.29450199203187249</v>
      </c>
      <c r="AK173" s="75">
        <f t="shared" si="119"/>
        <v>7.9442231075697214E-2</v>
      </c>
      <c r="AL173" s="75">
        <f t="shared" si="119"/>
        <v>4.0637450199203186E-3</v>
      </c>
      <c r="AM173" s="75">
        <f t="shared" si="119"/>
        <v>1.0017529880478087</v>
      </c>
      <c r="AN173" s="75"/>
      <c r="AO173" s="75"/>
      <c r="AP173" s="76" t="e">
        <f>+VLOOKUP($A173,#REF!,2,FALSE)</f>
        <v>#REF!</v>
      </c>
    </row>
    <row r="174" spans="1:42" s="77" customFormat="1">
      <c r="A174" s="80" t="s">
        <v>9</v>
      </c>
      <c r="B174" s="90">
        <f>SUM(B159:B173)</f>
        <v>2372314.37</v>
      </c>
      <c r="C174" s="93">
        <f t="shared" ref="C174:T174" si="122">SUM(C159:C173)</f>
        <v>2869.8775227145557</v>
      </c>
      <c r="D174" s="93">
        <f t="shared" si="122"/>
        <v>423.60930000000002</v>
      </c>
      <c r="E174" s="93">
        <f t="shared" si="122"/>
        <v>2.6</v>
      </c>
      <c r="F174" s="93">
        <f t="shared" si="122"/>
        <v>799.59800000000007</v>
      </c>
      <c r="G174" s="93">
        <f t="shared" si="122"/>
        <v>19</v>
      </c>
      <c r="H174" s="93">
        <f t="shared" si="122"/>
        <v>4114.6848227145556</v>
      </c>
      <c r="I174" s="90">
        <f t="shared" si="122"/>
        <v>835147</v>
      </c>
      <c r="J174" s="90">
        <f t="shared" si="122"/>
        <v>927846</v>
      </c>
      <c r="K174" s="90">
        <f t="shared" si="122"/>
        <v>92699</v>
      </c>
      <c r="L174" s="90">
        <f t="shared" si="122"/>
        <v>76995</v>
      </c>
      <c r="M174" s="90">
        <f t="shared" si="122"/>
        <v>118259</v>
      </c>
      <c r="N174" s="90">
        <f t="shared" si="122"/>
        <v>340372</v>
      </c>
      <c r="O174" s="90">
        <f t="shared" si="122"/>
        <v>104318</v>
      </c>
      <c r="P174" s="90">
        <f t="shared" si="122"/>
        <v>477884</v>
      </c>
      <c r="Q174" s="90">
        <f t="shared" si="122"/>
        <v>99790</v>
      </c>
      <c r="R174" s="90">
        <f t="shared" si="122"/>
        <v>98558</v>
      </c>
      <c r="S174" s="90">
        <f t="shared" si="122"/>
        <v>94744</v>
      </c>
      <c r="T174" s="90">
        <f t="shared" si="122"/>
        <v>3266612</v>
      </c>
      <c r="U174" s="91"/>
      <c r="V174" s="117"/>
      <c r="W174" s="74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6"/>
    </row>
    <row r="175" spans="1:42" s="77" customFormat="1">
      <c r="A175" s="81" t="s">
        <v>343</v>
      </c>
      <c r="B175" s="72"/>
      <c r="C175" s="92"/>
      <c r="D175" s="92"/>
      <c r="E175" s="92"/>
      <c r="F175" s="92"/>
      <c r="G175" s="92"/>
      <c r="H175" s="9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3"/>
      <c r="V175" s="117"/>
      <c r="W175" s="74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6"/>
    </row>
    <row r="176" spans="1:42" s="77" customFormat="1">
      <c r="A176" s="79" t="s">
        <v>130</v>
      </c>
      <c r="B176" s="72">
        <v>52575</v>
      </c>
      <c r="C176" s="92">
        <v>19.158999999999999</v>
      </c>
      <c r="D176" s="92">
        <v>14.666</v>
      </c>
      <c r="E176" s="92">
        <v>0</v>
      </c>
      <c r="F176" s="92">
        <v>0</v>
      </c>
      <c r="G176" s="92">
        <v>0</v>
      </c>
      <c r="H176" s="92">
        <f t="shared" ref="H176:H181" si="123">SUM(C176:G176)</f>
        <v>33.825000000000003</v>
      </c>
      <c r="I176" s="72">
        <v>600</v>
      </c>
      <c r="J176" s="72">
        <v>900</v>
      </c>
      <c r="K176" s="72">
        <f t="shared" si="99"/>
        <v>300</v>
      </c>
      <c r="L176" s="72">
        <v>1500</v>
      </c>
      <c r="M176" s="72">
        <v>1020</v>
      </c>
      <c r="N176" s="72">
        <v>1500</v>
      </c>
      <c r="O176" s="72">
        <v>8300</v>
      </c>
      <c r="P176" s="72">
        <f>13100-5430</f>
        <v>7670</v>
      </c>
      <c r="Q176" s="72">
        <v>145</v>
      </c>
      <c r="R176" s="72"/>
      <c r="S176" s="72">
        <v>31840</v>
      </c>
      <c r="T176" s="72">
        <f t="shared" ref="T176:T181" si="124">SUM(I176:S176)</f>
        <v>53775</v>
      </c>
      <c r="U176" s="73" t="s">
        <v>330</v>
      </c>
      <c r="V176" s="117"/>
      <c r="W176" s="74"/>
      <c r="X176" s="75">
        <f t="shared" ref="X176:AD181" si="125">+C176/$B176</f>
        <v>3.6441274369947694E-4</v>
      </c>
      <c r="Y176" s="75">
        <f t="shared" si="125"/>
        <v>2.7895387541607228E-4</v>
      </c>
      <c r="Z176" s="75">
        <f t="shared" si="125"/>
        <v>0</v>
      </c>
      <c r="AA176" s="75">
        <f t="shared" si="125"/>
        <v>0</v>
      </c>
      <c r="AB176" s="75">
        <f t="shared" si="125"/>
        <v>0</v>
      </c>
      <c r="AC176" s="75">
        <f t="shared" si="125"/>
        <v>6.4336661911554923E-4</v>
      </c>
      <c r="AD176" s="75">
        <f t="shared" si="125"/>
        <v>1.1412268188302425E-2</v>
      </c>
      <c r="AE176" s="75">
        <f t="shared" si="119"/>
        <v>2.8530670470756064E-2</v>
      </c>
      <c r="AF176" s="75">
        <f t="shared" si="119"/>
        <v>1.9400855920114122E-2</v>
      </c>
      <c r="AG176" s="75">
        <f t="shared" si="119"/>
        <v>2.8530670470756064E-2</v>
      </c>
      <c r="AH176" s="75">
        <f t="shared" si="119"/>
        <v>0.15786970993818356</v>
      </c>
      <c r="AI176" s="75">
        <f t="shared" si="119"/>
        <v>0.14588682834046601</v>
      </c>
      <c r="AJ176" s="75">
        <f t="shared" si="119"/>
        <v>2.7579648121730861E-3</v>
      </c>
      <c r="AK176" s="75">
        <f t="shared" si="119"/>
        <v>0</v>
      </c>
      <c r="AL176" s="75">
        <f t="shared" si="119"/>
        <v>0.60561103185924869</v>
      </c>
      <c r="AM176" s="75">
        <f t="shared" ref="AM176:AM207" si="126">+T176/$B176</f>
        <v>1.0228245363766049</v>
      </c>
      <c r="AN176" s="75"/>
      <c r="AO176" s="75"/>
      <c r="AP176" s="76" t="e">
        <f>+VLOOKUP($A176,#REF!,2,FALSE)</f>
        <v>#REF!</v>
      </c>
    </row>
    <row r="177" spans="1:42" s="77" customFormat="1">
      <c r="A177" s="79" t="s">
        <v>163</v>
      </c>
      <c r="B177" s="72">
        <v>30555</v>
      </c>
      <c r="C177" s="92">
        <v>5.1679999999999997E-2</v>
      </c>
      <c r="D177" s="92">
        <v>24.946000000000002</v>
      </c>
      <c r="E177" s="92">
        <v>0</v>
      </c>
      <c r="F177" s="92">
        <v>0</v>
      </c>
      <c r="G177" s="92">
        <v>0</v>
      </c>
      <c r="H177" s="92">
        <f t="shared" si="123"/>
        <v>24.997680000000003</v>
      </c>
      <c r="I177" s="72">
        <v>640</v>
      </c>
      <c r="J177" s="72">
        <v>640</v>
      </c>
      <c r="K177" s="72">
        <f t="shared" si="99"/>
        <v>0</v>
      </c>
      <c r="L177" s="72">
        <v>11710</v>
      </c>
      <c r="M177" s="72">
        <v>1200</v>
      </c>
      <c r="N177" s="72">
        <v>2098</v>
      </c>
      <c r="O177" s="72">
        <v>3703</v>
      </c>
      <c r="P177" s="72">
        <v>3534</v>
      </c>
      <c r="Q177" s="72">
        <v>346</v>
      </c>
      <c r="R177" s="72">
        <v>0</v>
      </c>
      <c r="S177" s="72">
        <v>0</v>
      </c>
      <c r="T177" s="72">
        <f t="shared" si="124"/>
        <v>23871</v>
      </c>
      <c r="U177" s="73" t="s">
        <v>330</v>
      </c>
      <c r="V177" s="117"/>
      <c r="W177" s="74"/>
      <c r="X177" s="75">
        <f t="shared" si="125"/>
        <v>1.6913762068401242E-6</v>
      </c>
      <c r="Y177" s="75">
        <f t="shared" si="125"/>
        <v>8.16429389625266E-4</v>
      </c>
      <c r="Z177" s="75">
        <f t="shared" si="125"/>
        <v>0</v>
      </c>
      <c r="AA177" s="75">
        <f t="shared" si="125"/>
        <v>0</v>
      </c>
      <c r="AB177" s="75">
        <f t="shared" si="125"/>
        <v>0</v>
      </c>
      <c r="AC177" s="75">
        <f t="shared" si="125"/>
        <v>8.1812076583210615E-4</v>
      </c>
      <c r="AD177" s="75">
        <f t="shared" si="125"/>
        <v>2.0945835378825068E-2</v>
      </c>
      <c r="AE177" s="75">
        <f t="shared" ref="AE177:AL197" si="127">+L177/$B177</f>
        <v>0.38324333169693997</v>
      </c>
      <c r="AF177" s="75">
        <f t="shared" si="127"/>
        <v>3.9273441335297005E-2</v>
      </c>
      <c r="AG177" s="75">
        <f t="shared" si="127"/>
        <v>6.8663066601210937E-2</v>
      </c>
      <c r="AH177" s="75">
        <f t="shared" si="127"/>
        <v>0.12119129438717068</v>
      </c>
      <c r="AI177" s="75">
        <f t="shared" si="127"/>
        <v>0.11566028473244969</v>
      </c>
      <c r="AJ177" s="75">
        <f t="shared" si="127"/>
        <v>1.1323842251677303E-2</v>
      </c>
      <c r="AK177" s="75">
        <f t="shared" si="127"/>
        <v>0</v>
      </c>
      <c r="AL177" s="75">
        <f t="shared" si="127"/>
        <v>0</v>
      </c>
      <c r="AM177" s="75">
        <f t="shared" si="126"/>
        <v>0.78124693176239568</v>
      </c>
      <c r="AN177" s="75"/>
      <c r="AO177" s="75"/>
      <c r="AP177" s="76" t="e">
        <f>+VLOOKUP($A177,#REF!,2,FALSE)</f>
        <v>#REF!</v>
      </c>
    </row>
    <row r="178" spans="1:42" s="77" customFormat="1">
      <c r="A178" s="78" t="s">
        <v>188</v>
      </c>
      <c r="B178" s="72">
        <v>0</v>
      </c>
      <c r="C178" s="92">
        <v>4.42</v>
      </c>
      <c r="D178" s="92">
        <v>1.72</v>
      </c>
      <c r="E178" s="92">
        <v>3.4580000000000002</v>
      </c>
      <c r="F178" s="92">
        <v>5.8239999999999998</v>
      </c>
      <c r="G178" s="92">
        <v>0</v>
      </c>
      <c r="H178" s="92">
        <f t="shared" si="123"/>
        <v>15.421999999999999</v>
      </c>
      <c r="I178" s="85">
        <v>0</v>
      </c>
      <c r="J178" s="85">
        <v>0</v>
      </c>
      <c r="K178" s="72">
        <f t="shared" si="99"/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5">
        <v>0</v>
      </c>
      <c r="S178" s="85">
        <v>0</v>
      </c>
      <c r="T178" s="72">
        <f t="shared" si="124"/>
        <v>0</v>
      </c>
      <c r="U178" s="73" t="s">
        <v>24</v>
      </c>
      <c r="V178" s="117"/>
      <c r="W178" s="74"/>
      <c r="X178" s="75" t="e">
        <f t="shared" si="125"/>
        <v>#DIV/0!</v>
      </c>
      <c r="Y178" s="75" t="e">
        <f t="shared" si="125"/>
        <v>#DIV/0!</v>
      </c>
      <c r="Z178" s="75" t="e">
        <f t="shared" si="125"/>
        <v>#DIV/0!</v>
      </c>
      <c r="AA178" s="75" t="e">
        <f t="shared" si="125"/>
        <v>#DIV/0!</v>
      </c>
      <c r="AB178" s="75" t="e">
        <f t="shared" si="125"/>
        <v>#DIV/0!</v>
      </c>
      <c r="AC178" s="75" t="e">
        <f t="shared" si="125"/>
        <v>#DIV/0!</v>
      </c>
      <c r="AD178" s="75" t="e">
        <f t="shared" si="125"/>
        <v>#DIV/0!</v>
      </c>
      <c r="AE178" s="75" t="e">
        <f t="shared" si="127"/>
        <v>#DIV/0!</v>
      </c>
      <c r="AF178" s="75" t="e">
        <f t="shared" si="127"/>
        <v>#DIV/0!</v>
      </c>
      <c r="AG178" s="75" t="e">
        <f t="shared" si="127"/>
        <v>#DIV/0!</v>
      </c>
      <c r="AH178" s="75" t="e">
        <f t="shared" si="127"/>
        <v>#DIV/0!</v>
      </c>
      <c r="AI178" s="75" t="e">
        <f t="shared" si="127"/>
        <v>#DIV/0!</v>
      </c>
      <c r="AJ178" s="75" t="e">
        <f t="shared" si="127"/>
        <v>#DIV/0!</v>
      </c>
      <c r="AK178" s="75" t="e">
        <f t="shared" si="127"/>
        <v>#DIV/0!</v>
      </c>
      <c r="AL178" s="75" t="e">
        <f t="shared" si="127"/>
        <v>#DIV/0!</v>
      </c>
      <c r="AM178" s="75" t="e">
        <f t="shared" si="126"/>
        <v>#DIV/0!</v>
      </c>
      <c r="AN178" s="75"/>
      <c r="AO178" s="75"/>
      <c r="AP178" s="76" t="e">
        <f>+VLOOKUP($A178,#REF!,2,FALSE)</f>
        <v>#REF!</v>
      </c>
    </row>
    <row r="179" spans="1:42" s="77" customFormat="1">
      <c r="A179" s="78" t="s">
        <v>69</v>
      </c>
      <c r="B179" s="72">
        <v>0</v>
      </c>
      <c r="C179" s="92">
        <v>0</v>
      </c>
      <c r="D179" s="92">
        <v>10.799999999999999</v>
      </c>
      <c r="E179" s="92">
        <v>0</v>
      </c>
      <c r="F179" s="92">
        <v>3.0180000000000002</v>
      </c>
      <c r="G179" s="92">
        <v>0</v>
      </c>
      <c r="H179" s="92">
        <f t="shared" si="123"/>
        <v>13.818</v>
      </c>
      <c r="I179" s="85">
        <v>0</v>
      </c>
      <c r="J179" s="85">
        <v>0</v>
      </c>
      <c r="K179" s="72">
        <f t="shared" si="99"/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  <c r="T179" s="72">
        <f t="shared" si="124"/>
        <v>0</v>
      </c>
      <c r="U179" s="73" t="s">
        <v>24</v>
      </c>
      <c r="V179" s="117"/>
      <c r="W179" s="74"/>
      <c r="X179" s="75" t="e">
        <f t="shared" si="125"/>
        <v>#DIV/0!</v>
      </c>
      <c r="Y179" s="75" t="e">
        <f t="shared" si="125"/>
        <v>#DIV/0!</v>
      </c>
      <c r="Z179" s="75" t="e">
        <f t="shared" si="125"/>
        <v>#DIV/0!</v>
      </c>
      <c r="AA179" s="75" t="e">
        <f t="shared" si="125"/>
        <v>#DIV/0!</v>
      </c>
      <c r="AB179" s="75" t="e">
        <f t="shared" si="125"/>
        <v>#DIV/0!</v>
      </c>
      <c r="AC179" s="75" t="e">
        <f t="shared" si="125"/>
        <v>#DIV/0!</v>
      </c>
      <c r="AD179" s="75" t="e">
        <f t="shared" si="125"/>
        <v>#DIV/0!</v>
      </c>
      <c r="AE179" s="75" t="e">
        <f t="shared" si="127"/>
        <v>#DIV/0!</v>
      </c>
      <c r="AF179" s="75" t="e">
        <f t="shared" si="127"/>
        <v>#DIV/0!</v>
      </c>
      <c r="AG179" s="75" t="e">
        <f t="shared" si="127"/>
        <v>#DIV/0!</v>
      </c>
      <c r="AH179" s="75" t="e">
        <f t="shared" si="127"/>
        <v>#DIV/0!</v>
      </c>
      <c r="AI179" s="75" t="e">
        <f t="shared" si="127"/>
        <v>#DIV/0!</v>
      </c>
      <c r="AJ179" s="75" t="e">
        <f t="shared" si="127"/>
        <v>#DIV/0!</v>
      </c>
      <c r="AK179" s="75" t="e">
        <f t="shared" si="127"/>
        <v>#DIV/0!</v>
      </c>
      <c r="AL179" s="75" t="e">
        <f t="shared" si="127"/>
        <v>#DIV/0!</v>
      </c>
      <c r="AM179" s="75" t="e">
        <f t="shared" si="126"/>
        <v>#DIV/0!</v>
      </c>
      <c r="AN179" s="75"/>
      <c r="AO179" s="75"/>
      <c r="AP179" s="76" t="e">
        <f>+VLOOKUP($A179,#REF!,2,FALSE)</f>
        <v>#REF!</v>
      </c>
    </row>
    <row r="180" spans="1:42" s="77" customFormat="1">
      <c r="A180" s="79" t="s">
        <v>131</v>
      </c>
      <c r="B180" s="72">
        <v>210063</v>
      </c>
      <c r="C180" s="92">
        <v>96.77</v>
      </c>
      <c r="D180" s="92">
        <v>38.090000000000003</v>
      </c>
      <c r="E180" s="92">
        <v>8</v>
      </c>
      <c r="F180" s="92">
        <v>4.41</v>
      </c>
      <c r="G180" s="92">
        <v>0</v>
      </c>
      <c r="H180" s="92">
        <f t="shared" si="123"/>
        <v>147.27000000000001</v>
      </c>
      <c r="I180" s="72">
        <v>20000</v>
      </c>
      <c r="J180" s="72">
        <v>54235</v>
      </c>
      <c r="K180" s="72">
        <f t="shared" si="99"/>
        <v>34235</v>
      </c>
      <c r="L180" s="72">
        <v>4104</v>
      </c>
      <c r="M180" s="72">
        <v>452</v>
      </c>
      <c r="N180" s="72">
        <v>4304</v>
      </c>
      <c r="O180" s="72">
        <v>47595</v>
      </c>
      <c r="P180" s="72">
        <v>16550</v>
      </c>
      <c r="Q180" s="72">
        <v>2164</v>
      </c>
      <c r="R180" s="72">
        <v>2739</v>
      </c>
      <c r="S180" s="72">
        <v>2780</v>
      </c>
      <c r="T180" s="72">
        <f t="shared" si="124"/>
        <v>189158</v>
      </c>
      <c r="U180" s="73" t="s">
        <v>330</v>
      </c>
      <c r="V180" s="117"/>
      <c r="W180" s="74"/>
      <c r="X180" s="75">
        <f t="shared" si="125"/>
        <v>4.6067132241279997E-4</v>
      </c>
      <c r="Y180" s="75">
        <f t="shared" si="125"/>
        <v>1.8132655441462802E-4</v>
      </c>
      <c r="Z180" s="75">
        <f t="shared" si="125"/>
        <v>3.8083812951352687E-5</v>
      </c>
      <c r="AA180" s="75">
        <f t="shared" si="125"/>
        <v>2.0993701889433172E-5</v>
      </c>
      <c r="AB180" s="75">
        <f t="shared" si="125"/>
        <v>0</v>
      </c>
      <c r="AC180" s="75">
        <f t="shared" si="125"/>
        <v>7.0107539166821382E-4</v>
      </c>
      <c r="AD180" s="75">
        <f t="shared" si="125"/>
        <v>9.5209532378381728E-2</v>
      </c>
      <c r="AE180" s="75">
        <f t="shared" si="127"/>
        <v>1.9536996044043929E-2</v>
      </c>
      <c r="AF180" s="75">
        <f t="shared" si="127"/>
        <v>2.1517354317514268E-3</v>
      </c>
      <c r="AG180" s="75">
        <f t="shared" si="127"/>
        <v>2.0489091367827748E-2</v>
      </c>
      <c r="AH180" s="75">
        <f t="shared" si="127"/>
        <v>0.2265748846774539</v>
      </c>
      <c r="AI180" s="75">
        <f t="shared" si="127"/>
        <v>7.8785888043110874E-2</v>
      </c>
      <c r="AJ180" s="75">
        <f t="shared" si="127"/>
        <v>1.0301671403340902E-2</v>
      </c>
      <c r="AK180" s="75">
        <f t="shared" si="127"/>
        <v>1.3038945459219378E-2</v>
      </c>
      <c r="AL180" s="75">
        <f t="shared" si="127"/>
        <v>1.323412500059506E-2</v>
      </c>
      <c r="AM180" s="75">
        <f t="shared" si="126"/>
        <v>0.90048223628149648</v>
      </c>
      <c r="AN180" s="75"/>
      <c r="AO180" s="75"/>
      <c r="AP180" s="76" t="e">
        <f>+VLOOKUP($A180,#REF!,2,FALSE)</f>
        <v>#REF!</v>
      </c>
    </row>
    <row r="181" spans="1:42" s="77" customFormat="1">
      <c r="A181" s="78" t="s">
        <v>164</v>
      </c>
      <c r="B181" s="72">
        <v>410750</v>
      </c>
      <c r="C181" s="92">
        <v>140.13186402326033</v>
      </c>
      <c r="D181" s="92">
        <v>124.86960000000001</v>
      </c>
      <c r="E181" s="92">
        <v>6.0912000000000033</v>
      </c>
      <c r="F181" s="92">
        <v>70.048800000000028</v>
      </c>
      <c r="G181" s="92">
        <v>43.934399999999997</v>
      </c>
      <c r="H181" s="92">
        <f t="shared" si="123"/>
        <v>385.07586402326035</v>
      </c>
      <c r="I181" s="72">
        <v>265000</v>
      </c>
      <c r="J181" s="72">
        <v>278000</v>
      </c>
      <c r="K181" s="72">
        <f t="shared" si="99"/>
        <v>13000</v>
      </c>
      <c r="L181" s="72">
        <v>1100</v>
      </c>
      <c r="M181" s="72">
        <v>900</v>
      </c>
      <c r="N181" s="72">
        <v>0</v>
      </c>
      <c r="O181" s="72">
        <v>66000</v>
      </c>
      <c r="P181" s="72">
        <v>3200</v>
      </c>
      <c r="Q181" s="72">
        <v>4000</v>
      </c>
      <c r="R181" s="72">
        <v>5000</v>
      </c>
      <c r="S181" s="72">
        <v>0</v>
      </c>
      <c r="T181" s="72">
        <f t="shared" si="124"/>
        <v>636200</v>
      </c>
      <c r="U181" s="73" t="s">
        <v>330</v>
      </c>
      <c r="V181" s="117"/>
      <c r="W181" s="74"/>
      <c r="X181" s="75">
        <f t="shared" si="125"/>
        <v>3.4116095927756626E-4</v>
      </c>
      <c r="Y181" s="75">
        <f t="shared" si="125"/>
        <v>3.0400389531345099E-4</v>
      </c>
      <c r="Z181" s="75">
        <f t="shared" si="125"/>
        <v>1.4829458307973227E-5</v>
      </c>
      <c r="AA181" s="75">
        <f t="shared" si="125"/>
        <v>1.7053877054169208E-4</v>
      </c>
      <c r="AB181" s="75">
        <f t="shared" si="125"/>
        <v>1.0696141205112598E-4</v>
      </c>
      <c r="AC181" s="75">
        <f t="shared" si="125"/>
        <v>9.3749449549180848E-4</v>
      </c>
      <c r="AD181" s="75">
        <f t="shared" si="125"/>
        <v>0.64516129032258063</v>
      </c>
      <c r="AE181" s="75">
        <f t="shared" si="127"/>
        <v>2.6780279975654291E-3</v>
      </c>
      <c r="AF181" s="75">
        <f t="shared" si="127"/>
        <v>2.1911138161898967E-3</v>
      </c>
      <c r="AG181" s="75">
        <f t="shared" si="127"/>
        <v>0</v>
      </c>
      <c r="AH181" s="75">
        <f t="shared" si="127"/>
        <v>0.16068167985392576</v>
      </c>
      <c r="AI181" s="75">
        <f t="shared" si="127"/>
        <v>7.790626902008521E-3</v>
      </c>
      <c r="AJ181" s="75">
        <f t="shared" si="127"/>
        <v>9.7382836275106514E-3</v>
      </c>
      <c r="AK181" s="75">
        <f t="shared" si="127"/>
        <v>1.2172854534388313E-2</v>
      </c>
      <c r="AL181" s="75">
        <f t="shared" si="127"/>
        <v>0</v>
      </c>
      <c r="AM181" s="75">
        <f t="shared" si="126"/>
        <v>1.548874010955569</v>
      </c>
      <c r="AN181" s="75"/>
      <c r="AO181" s="75"/>
      <c r="AP181" s="76" t="e">
        <f>+VLOOKUP($A181,#REF!,2,FALSE)</f>
        <v>#REF!</v>
      </c>
    </row>
    <row r="182" spans="1:42" s="77" customFormat="1">
      <c r="A182" s="80" t="s">
        <v>9</v>
      </c>
      <c r="B182" s="90">
        <f>SUM(B176:B181)</f>
        <v>703943</v>
      </c>
      <c r="C182" s="93">
        <f t="shared" ref="C182:T182" si="128">SUM(C176:C181)</f>
        <v>260.53254402326036</v>
      </c>
      <c r="D182" s="93">
        <f t="shared" si="128"/>
        <v>215.09160000000003</v>
      </c>
      <c r="E182" s="93">
        <f t="shared" si="128"/>
        <v>17.549200000000003</v>
      </c>
      <c r="F182" s="93">
        <f t="shared" si="128"/>
        <v>83.300800000000024</v>
      </c>
      <c r="G182" s="93">
        <f t="shared" si="128"/>
        <v>43.934399999999997</v>
      </c>
      <c r="H182" s="93">
        <f t="shared" si="128"/>
        <v>620.40854402326033</v>
      </c>
      <c r="I182" s="90">
        <f t="shared" si="128"/>
        <v>286240</v>
      </c>
      <c r="J182" s="90">
        <f t="shared" si="128"/>
        <v>333775</v>
      </c>
      <c r="K182" s="90">
        <f t="shared" si="128"/>
        <v>47535</v>
      </c>
      <c r="L182" s="90">
        <f t="shared" si="128"/>
        <v>18414</v>
      </c>
      <c r="M182" s="90">
        <f t="shared" si="128"/>
        <v>3572</v>
      </c>
      <c r="N182" s="90">
        <f t="shared" si="128"/>
        <v>7902</v>
      </c>
      <c r="O182" s="90">
        <f t="shared" si="128"/>
        <v>125598</v>
      </c>
      <c r="P182" s="90">
        <f t="shared" si="128"/>
        <v>30954</v>
      </c>
      <c r="Q182" s="90">
        <f t="shared" si="128"/>
        <v>6655</v>
      </c>
      <c r="R182" s="90">
        <f t="shared" si="128"/>
        <v>7739</v>
      </c>
      <c r="S182" s="90">
        <f t="shared" si="128"/>
        <v>34620</v>
      </c>
      <c r="T182" s="90">
        <f t="shared" si="128"/>
        <v>903004</v>
      </c>
      <c r="U182" s="80"/>
      <c r="V182" s="117"/>
      <c r="W182" s="74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6"/>
    </row>
    <row r="183" spans="1:42" s="77" customFormat="1">
      <c r="A183" s="81" t="s">
        <v>344</v>
      </c>
      <c r="B183" s="72"/>
      <c r="C183" s="92"/>
      <c r="D183" s="92"/>
      <c r="E183" s="92"/>
      <c r="F183" s="92"/>
      <c r="G183" s="92"/>
      <c r="H183" s="9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3"/>
      <c r="V183" s="117"/>
      <c r="W183" s="74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6"/>
    </row>
    <row r="184" spans="1:42" s="77" customFormat="1">
      <c r="A184" s="79" t="s">
        <v>105</v>
      </c>
      <c r="B184" s="72">
        <v>147746</v>
      </c>
      <c r="C184" s="92">
        <v>84.56</v>
      </c>
      <c r="D184" s="92">
        <v>2.734</v>
      </c>
      <c r="E184" s="92">
        <v>0</v>
      </c>
      <c r="F184" s="92">
        <v>2.8</v>
      </c>
      <c r="G184" s="92">
        <v>10.414</v>
      </c>
      <c r="H184" s="92">
        <f>SUM(C184:G184)</f>
        <v>100.508</v>
      </c>
      <c r="I184" s="72">
        <v>8672</v>
      </c>
      <c r="J184" s="72">
        <v>25500</v>
      </c>
      <c r="K184" s="72">
        <f t="shared" si="99"/>
        <v>16828</v>
      </c>
      <c r="L184" s="72">
        <v>283</v>
      </c>
      <c r="M184" s="72">
        <v>186</v>
      </c>
      <c r="N184" s="72">
        <v>0</v>
      </c>
      <c r="O184" s="72">
        <v>21533</v>
      </c>
      <c r="P184" s="72">
        <v>33922</v>
      </c>
      <c r="Q184" s="72">
        <v>50</v>
      </c>
      <c r="R184" s="72">
        <v>11</v>
      </c>
      <c r="S184" s="72">
        <v>20117</v>
      </c>
      <c r="T184" s="72">
        <f>SUM(I184:S184)</f>
        <v>127102</v>
      </c>
      <c r="U184" s="73" t="s">
        <v>327</v>
      </c>
      <c r="V184" s="117"/>
      <c r="W184" s="74"/>
      <c r="X184" s="75">
        <f t="shared" ref="X184:AD191" si="129">+C184/$B184</f>
        <v>5.7233359955599476E-4</v>
      </c>
      <c r="Y184" s="75">
        <f t="shared" si="129"/>
        <v>1.850473109255073E-5</v>
      </c>
      <c r="Z184" s="75">
        <f t="shared" si="129"/>
        <v>0</v>
      </c>
      <c r="AA184" s="75">
        <f t="shared" si="129"/>
        <v>1.8951443693907111E-5</v>
      </c>
      <c r="AB184" s="75">
        <f t="shared" si="129"/>
        <v>7.0485833795838797E-5</v>
      </c>
      <c r="AC184" s="75">
        <f t="shared" si="129"/>
        <v>6.8027560813829139E-4</v>
      </c>
      <c r="AD184" s="75">
        <f t="shared" si="129"/>
        <v>5.8695328469129449E-2</v>
      </c>
      <c r="AE184" s="75">
        <f t="shared" si="127"/>
        <v>1.9154494876341831E-3</v>
      </c>
      <c r="AF184" s="75">
        <f t="shared" si="127"/>
        <v>1.258917331095258E-3</v>
      </c>
      <c r="AG184" s="75">
        <f t="shared" si="127"/>
        <v>0</v>
      </c>
      <c r="AH184" s="75">
        <f t="shared" si="127"/>
        <v>0.14574337037889351</v>
      </c>
      <c r="AI184" s="75">
        <f t="shared" si="127"/>
        <v>0.22959674035168465</v>
      </c>
      <c r="AJ184" s="75">
        <f t="shared" si="127"/>
        <v>3.3841863739119841E-4</v>
      </c>
      <c r="AK184" s="75">
        <f t="shared" si="127"/>
        <v>7.4452100226063653E-5</v>
      </c>
      <c r="AL184" s="75">
        <f t="shared" si="127"/>
        <v>0.13615935456797476</v>
      </c>
      <c r="AM184" s="75">
        <f t="shared" si="126"/>
        <v>0.86027371299392197</v>
      </c>
      <c r="AN184" s="75"/>
      <c r="AO184" s="75"/>
      <c r="AP184" s="76" t="e">
        <f>+VLOOKUP($A184,#REF!,2,FALSE)</f>
        <v>#REF!</v>
      </c>
    </row>
    <row r="185" spans="1:42" s="77" customFormat="1">
      <c r="A185" s="79" t="s">
        <v>31</v>
      </c>
      <c r="B185" s="72">
        <v>45167</v>
      </c>
      <c r="C185" s="92">
        <v>14.082000000000001</v>
      </c>
      <c r="D185" s="92">
        <v>1.8127200000000001</v>
      </c>
      <c r="E185" s="92">
        <v>0.13650000000000001</v>
      </c>
      <c r="F185" s="92">
        <v>70.759</v>
      </c>
      <c r="G185" s="92">
        <v>0</v>
      </c>
      <c r="H185" s="92">
        <f t="shared" ref="H185:H191" si="130">SUM(C185:G185)</f>
        <v>86.790220000000005</v>
      </c>
      <c r="I185" s="72">
        <v>120</v>
      </c>
      <c r="J185" s="72">
        <v>120</v>
      </c>
      <c r="K185" s="72">
        <f t="shared" si="99"/>
        <v>0</v>
      </c>
      <c r="L185" s="72">
        <v>10</v>
      </c>
      <c r="M185" s="72">
        <v>35</v>
      </c>
      <c r="N185" s="72">
        <v>0</v>
      </c>
      <c r="O185" s="72">
        <v>189</v>
      </c>
      <c r="P185" s="72">
        <v>30850</v>
      </c>
      <c r="Q185" s="72">
        <v>1</v>
      </c>
      <c r="R185" s="72">
        <v>0</v>
      </c>
      <c r="S185" s="72">
        <v>0</v>
      </c>
      <c r="T185" s="72">
        <f t="shared" ref="T185:T191" si="131">SUM(I185:S185)</f>
        <v>31325</v>
      </c>
      <c r="U185" s="73" t="s">
        <v>326</v>
      </c>
      <c r="V185" s="117"/>
      <c r="W185" s="74"/>
      <c r="X185" s="75">
        <f t="shared" si="129"/>
        <v>3.1177629685389779E-4</v>
      </c>
      <c r="Y185" s="75">
        <f t="shared" si="129"/>
        <v>4.0133725950361995E-5</v>
      </c>
      <c r="Z185" s="75">
        <f t="shared" si="129"/>
        <v>3.0221179179489453E-6</v>
      </c>
      <c r="AA185" s="75">
        <f t="shared" si="129"/>
        <v>1.5666083645139151E-3</v>
      </c>
      <c r="AB185" s="75">
        <f t="shared" si="129"/>
        <v>0</v>
      </c>
      <c r="AC185" s="75">
        <f t="shared" si="129"/>
        <v>1.9215405052361238E-3</v>
      </c>
      <c r="AD185" s="75">
        <f t="shared" si="129"/>
        <v>2.6568069608342375E-3</v>
      </c>
      <c r="AE185" s="75">
        <f t="shared" si="127"/>
        <v>2.2140058006951978E-4</v>
      </c>
      <c r="AF185" s="75">
        <f t="shared" si="127"/>
        <v>7.7490203024331919E-4</v>
      </c>
      <c r="AG185" s="75">
        <f t="shared" si="127"/>
        <v>0</v>
      </c>
      <c r="AH185" s="75">
        <f t="shared" si="127"/>
        <v>4.1844709633139235E-3</v>
      </c>
      <c r="AI185" s="75">
        <f t="shared" si="127"/>
        <v>0.68302078951446854</v>
      </c>
      <c r="AJ185" s="75">
        <f t="shared" si="127"/>
        <v>2.2140058006951979E-5</v>
      </c>
      <c r="AK185" s="75">
        <f t="shared" si="127"/>
        <v>0</v>
      </c>
      <c r="AL185" s="75">
        <f t="shared" si="127"/>
        <v>0</v>
      </c>
      <c r="AM185" s="75">
        <f t="shared" si="126"/>
        <v>0.69353731706777066</v>
      </c>
      <c r="AN185" s="75"/>
      <c r="AO185" s="75"/>
      <c r="AP185" s="76" t="e">
        <f>+VLOOKUP($A185,#REF!,2,FALSE)</f>
        <v>#REF!</v>
      </c>
    </row>
    <row r="186" spans="1:42" s="77" customFormat="1">
      <c r="A186" s="79" t="s">
        <v>148</v>
      </c>
      <c r="B186" s="72">
        <v>31057</v>
      </c>
      <c r="C186" s="92">
        <v>24.049999999999997</v>
      </c>
      <c r="D186" s="92">
        <v>14.12</v>
      </c>
      <c r="E186" s="92">
        <v>1.01</v>
      </c>
      <c r="F186" s="92">
        <v>30.24</v>
      </c>
      <c r="G186" s="92">
        <v>6.06</v>
      </c>
      <c r="H186" s="92">
        <f t="shared" si="130"/>
        <v>75.47999999999999</v>
      </c>
      <c r="I186" s="72">
        <v>0</v>
      </c>
      <c r="J186" s="72">
        <v>0</v>
      </c>
      <c r="K186" s="72">
        <f t="shared" si="99"/>
        <v>0</v>
      </c>
      <c r="L186" s="72">
        <v>55</v>
      </c>
      <c r="M186" s="72">
        <v>75</v>
      </c>
      <c r="N186" s="72">
        <v>0</v>
      </c>
      <c r="O186" s="72">
        <v>3620</v>
      </c>
      <c r="P186" s="72">
        <v>22925</v>
      </c>
      <c r="Q186" s="72">
        <v>60</v>
      </c>
      <c r="R186" s="72">
        <v>0</v>
      </c>
      <c r="S186" s="72">
        <v>105</v>
      </c>
      <c r="T186" s="72">
        <f t="shared" si="131"/>
        <v>26840</v>
      </c>
      <c r="U186" s="73" t="s">
        <v>326</v>
      </c>
      <c r="V186" s="117"/>
      <c r="W186" s="74"/>
      <c r="X186" s="75">
        <f t="shared" si="129"/>
        <v>7.7438258685642522E-4</v>
      </c>
      <c r="Y186" s="75">
        <f t="shared" si="129"/>
        <v>4.5464790546414656E-4</v>
      </c>
      <c r="Z186" s="75">
        <f t="shared" si="129"/>
        <v>3.2520848761953827E-5</v>
      </c>
      <c r="AA186" s="75">
        <f t="shared" si="129"/>
        <v>9.7369353124899377E-4</v>
      </c>
      <c r="AB186" s="75">
        <f t="shared" si="129"/>
        <v>1.9512509257172295E-4</v>
      </c>
      <c r="AC186" s="75">
        <f t="shared" si="129"/>
        <v>2.4303699649032423E-3</v>
      </c>
      <c r="AD186" s="75">
        <f t="shared" si="129"/>
        <v>0</v>
      </c>
      <c r="AE186" s="75">
        <f t="shared" si="127"/>
        <v>1.7709373088192679E-3</v>
      </c>
      <c r="AF186" s="75">
        <f t="shared" si="127"/>
        <v>2.4149145120262745E-3</v>
      </c>
      <c r="AG186" s="75">
        <f t="shared" si="127"/>
        <v>0</v>
      </c>
      <c r="AH186" s="75">
        <f t="shared" si="127"/>
        <v>0.11655987378046817</v>
      </c>
      <c r="AI186" s="75">
        <f t="shared" si="127"/>
        <v>0.73815886917603113</v>
      </c>
      <c r="AJ186" s="75">
        <f t="shared" si="127"/>
        <v>1.9319316096210195E-3</v>
      </c>
      <c r="AK186" s="75">
        <f t="shared" si="127"/>
        <v>0</v>
      </c>
      <c r="AL186" s="75">
        <f t="shared" si="127"/>
        <v>3.380880316836784E-3</v>
      </c>
      <c r="AM186" s="75">
        <f t="shared" si="126"/>
        <v>0.86421740670380265</v>
      </c>
      <c r="AN186" s="75"/>
      <c r="AO186" s="75"/>
      <c r="AP186" s="76" t="e">
        <f>+VLOOKUP($A186,#REF!,2,FALSE)</f>
        <v>#REF!</v>
      </c>
    </row>
    <row r="187" spans="1:42" s="77" customFormat="1">
      <c r="A187" s="79" t="s">
        <v>171</v>
      </c>
      <c r="B187" s="72">
        <v>0</v>
      </c>
      <c r="C187" s="92">
        <v>0</v>
      </c>
      <c r="D187" s="92">
        <v>13.248000000000001</v>
      </c>
      <c r="E187" s="92">
        <v>0</v>
      </c>
      <c r="F187" s="92">
        <v>0</v>
      </c>
      <c r="G187" s="92">
        <v>0.36500000000000027</v>
      </c>
      <c r="H187" s="92">
        <f t="shared" si="130"/>
        <v>13.613000000000001</v>
      </c>
      <c r="I187" s="72">
        <v>0</v>
      </c>
      <c r="J187" s="72">
        <v>0</v>
      </c>
      <c r="K187" s="72">
        <f t="shared" si="99"/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72">
        <v>0</v>
      </c>
      <c r="S187" s="72">
        <v>0</v>
      </c>
      <c r="T187" s="72">
        <f t="shared" si="131"/>
        <v>0</v>
      </c>
      <c r="U187" s="73" t="s">
        <v>24</v>
      </c>
      <c r="V187" s="117"/>
      <c r="W187" s="74"/>
      <c r="X187" s="75" t="e">
        <f t="shared" si="129"/>
        <v>#DIV/0!</v>
      </c>
      <c r="Y187" s="75" t="e">
        <f t="shared" si="129"/>
        <v>#DIV/0!</v>
      </c>
      <c r="Z187" s="75" t="e">
        <f t="shared" si="129"/>
        <v>#DIV/0!</v>
      </c>
      <c r="AA187" s="75" t="e">
        <f t="shared" si="129"/>
        <v>#DIV/0!</v>
      </c>
      <c r="AB187" s="75" t="e">
        <f t="shared" si="129"/>
        <v>#DIV/0!</v>
      </c>
      <c r="AC187" s="75" t="e">
        <f t="shared" si="129"/>
        <v>#DIV/0!</v>
      </c>
      <c r="AD187" s="75" t="e">
        <f t="shared" si="129"/>
        <v>#DIV/0!</v>
      </c>
      <c r="AE187" s="75" t="e">
        <f t="shared" si="127"/>
        <v>#DIV/0!</v>
      </c>
      <c r="AF187" s="75" t="e">
        <f t="shared" si="127"/>
        <v>#DIV/0!</v>
      </c>
      <c r="AG187" s="75" t="e">
        <f t="shared" si="127"/>
        <v>#DIV/0!</v>
      </c>
      <c r="AH187" s="75" t="e">
        <f t="shared" si="127"/>
        <v>#DIV/0!</v>
      </c>
      <c r="AI187" s="75" t="e">
        <f t="shared" si="127"/>
        <v>#DIV/0!</v>
      </c>
      <c r="AJ187" s="75" t="e">
        <f t="shared" si="127"/>
        <v>#DIV/0!</v>
      </c>
      <c r="AK187" s="75" t="e">
        <f t="shared" si="127"/>
        <v>#DIV/0!</v>
      </c>
      <c r="AL187" s="75" t="e">
        <f t="shared" si="127"/>
        <v>#DIV/0!</v>
      </c>
      <c r="AM187" s="75" t="e">
        <f t="shared" si="126"/>
        <v>#DIV/0!</v>
      </c>
      <c r="AN187" s="75"/>
      <c r="AO187" s="75"/>
      <c r="AP187" s="76" t="e">
        <f>+VLOOKUP($A187,#REF!,2,FALSE)</f>
        <v>#REF!</v>
      </c>
    </row>
    <row r="188" spans="1:42" s="77" customFormat="1">
      <c r="A188" s="79" t="s">
        <v>249</v>
      </c>
      <c r="B188" s="72">
        <v>118654</v>
      </c>
      <c r="C188" s="92">
        <v>93.314000000000007</v>
      </c>
      <c r="D188" s="92">
        <v>0.312</v>
      </c>
      <c r="E188" s="92">
        <v>0</v>
      </c>
      <c r="F188" s="92">
        <v>0</v>
      </c>
      <c r="G188" s="92">
        <v>0</v>
      </c>
      <c r="H188" s="92">
        <f t="shared" si="130"/>
        <v>93.626000000000005</v>
      </c>
      <c r="I188" s="72">
        <v>2540</v>
      </c>
      <c r="J188" s="72">
        <v>2800</v>
      </c>
      <c r="K188" s="72">
        <f t="shared" si="99"/>
        <v>260</v>
      </c>
      <c r="L188" s="72">
        <v>0</v>
      </c>
      <c r="M188" s="72">
        <v>0</v>
      </c>
      <c r="N188" s="72">
        <v>0</v>
      </c>
      <c r="O188" s="72">
        <v>5878</v>
      </c>
      <c r="P188" s="72">
        <v>50865</v>
      </c>
      <c r="Q188" s="72">
        <v>452</v>
      </c>
      <c r="R188" s="72">
        <v>0</v>
      </c>
      <c r="S188" s="72">
        <v>0</v>
      </c>
      <c r="T188" s="72">
        <f t="shared" si="131"/>
        <v>62795</v>
      </c>
      <c r="U188" s="73" t="s">
        <v>326</v>
      </c>
      <c r="V188" s="117"/>
      <c r="W188" s="74"/>
      <c r="X188" s="75">
        <f t="shared" si="129"/>
        <v>7.8643787820048214E-4</v>
      </c>
      <c r="Y188" s="75">
        <f t="shared" si="129"/>
        <v>2.6294941594889342E-6</v>
      </c>
      <c r="Z188" s="75">
        <f t="shared" si="129"/>
        <v>0</v>
      </c>
      <c r="AA188" s="75">
        <f t="shared" si="129"/>
        <v>0</v>
      </c>
      <c r="AB188" s="75">
        <f t="shared" si="129"/>
        <v>0</v>
      </c>
      <c r="AC188" s="75">
        <f t="shared" si="129"/>
        <v>7.8906737235997105E-4</v>
      </c>
      <c r="AD188" s="75">
        <f t="shared" si="129"/>
        <v>2.140677937532658E-2</v>
      </c>
      <c r="AE188" s="75">
        <f t="shared" si="127"/>
        <v>0</v>
      </c>
      <c r="AF188" s="75">
        <f t="shared" si="127"/>
        <v>0</v>
      </c>
      <c r="AG188" s="75">
        <f t="shared" si="127"/>
        <v>0</v>
      </c>
      <c r="AH188" s="75">
        <f t="shared" si="127"/>
        <v>4.9538995735499858E-2</v>
      </c>
      <c r="AI188" s="75">
        <f t="shared" si="127"/>
        <v>0.42868339878975847</v>
      </c>
      <c r="AJ188" s="75">
        <f t="shared" si="127"/>
        <v>3.8093953849006354E-3</v>
      </c>
      <c r="AK188" s="75">
        <f t="shared" si="127"/>
        <v>0</v>
      </c>
      <c r="AL188" s="75">
        <f t="shared" si="127"/>
        <v>0</v>
      </c>
      <c r="AM188" s="75">
        <f t="shared" si="126"/>
        <v>0.52922783892662695</v>
      </c>
      <c r="AN188" s="75"/>
      <c r="AO188" s="75"/>
      <c r="AP188" s="76" t="e">
        <f>+VLOOKUP($A188,#REF!,2,FALSE)</f>
        <v>#REF!</v>
      </c>
    </row>
    <row r="189" spans="1:42" s="77" customFormat="1">
      <c r="A189" s="78" t="s">
        <v>107</v>
      </c>
      <c r="B189" s="72">
        <v>147050.22</v>
      </c>
      <c r="C189" s="92">
        <v>180.38</v>
      </c>
      <c r="D189" s="92">
        <v>1.3599999999999999</v>
      </c>
      <c r="E189" s="92">
        <v>0</v>
      </c>
      <c r="F189" s="92">
        <v>70</v>
      </c>
      <c r="G189" s="92">
        <v>14.56</v>
      </c>
      <c r="H189" s="92">
        <f t="shared" si="130"/>
        <v>266.3</v>
      </c>
      <c r="I189" s="72">
        <f>46035-20860</f>
        <v>25175</v>
      </c>
      <c r="J189" s="72">
        <v>86824</v>
      </c>
      <c r="K189" s="72">
        <f t="shared" si="99"/>
        <v>61649</v>
      </c>
      <c r="L189" s="72">
        <v>507</v>
      </c>
      <c r="M189" s="72">
        <v>3030</v>
      </c>
      <c r="N189" s="72">
        <v>30</v>
      </c>
      <c r="O189" s="72">
        <v>21960</v>
      </c>
      <c r="P189" s="72">
        <v>69756</v>
      </c>
      <c r="Q189" s="72">
        <v>1710</v>
      </c>
      <c r="R189" s="72">
        <v>3847</v>
      </c>
      <c r="S189" s="72">
        <v>21035</v>
      </c>
      <c r="T189" s="72">
        <f t="shared" si="131"/>
        <v>295523</v>
      </c>
      <c r="U189" s="73" t="s">
        <v>327</v>
      </c>
      <c r="V189" s="117"/>
      <c r="W189" s="74"/>
      <c r="X189" s="75">
        <f t="shared" si="129"/>
        <v>1.2266557642688328E-3</v>
      </c>
      <c r="Y189" s="75">
        <f t="shared" si="129"/>
        <v>9.2485410766471475E-6</v>
      </c>
      <c r="Z189" s="75">
        <f t="shared" si="129"/>
        <v>0</v>
      </c>
      <c r="AA189" s="75">
        <f t="shared" si="129"/>
        <v>4.7602784953330911E-4</v>
      </c>
      <c r="AB189" s="75">
        <f t="shared" si="129"/>
        <v>9.9013792702928291E-5</v>
      </c>
      <c r="AC189" s="75">
        <f t="shared" si="129"/>
        <v>1.8109459475817173E-3</v>
      </c>
      <c r="AD189" s="75">
        <f t="shared" si="129"/>
        <v>0.17120001588572939</v>
      </c>
      <c r="AE189" s="75">
        <f t="shared" si="127"/>
        <v>3.4478017101912529E-3</v>
      </c>
      <c r="AF189" s="75">
        <f t="shared" si="127"/>
        <v>2.0605205486941808E-2</v>
      </c>
      <c r="AG189" s="75">
        <f t="shared" si="127"/>
        <v>2.0401193551427532E-4</v>
      </c>
      <c r="AH189" s="75">
        <f t="shared" si="127"/>
        <v>0.14933673679644954</v>
      </c>
      <c r="AI189" s="75">
        <f t="shared" si="127"/>
        <v>0.47436855245779297</v>
      </c>
      <c r="AJ189" s="75">
        <f t="shared" si="127"/>
        <v>1.1628680324313693E-2</v>
      </c>
      <c r="AK189" s="75">
        <f t="shared" si="127"/>
        <v>2.6161130530780573E-2</v>
      </c>
      <c r="AL189" s="75">
        <f t="shared" si="127"/>
        <v>0.14304636878475938</v>
      </c>
      <c r="AM189" s="75">
        <f t="shared" si="126"/>
        <v>2.0096739739661729</v>
      </c>
      <c r="AN189" s="75"/>
      <c r="AO189" s="75"/>
      <c r="AP189" s="76" t="e">
        <f>+VLOOKUP($A189,#REF!,2,FALSE)</f>
        <v>#REF!</v>
      </c>
    </row>
    <row r="190" spans="1:42" s="77" customFormat="1">
      <c r="A190" s="78" t="s">
        <v>108</v>
      </c>
      <c r="B190" s="72">
        <v>324039.92000000004</v>
      </c>
      <c r="C190" s="92">
        <v>54.02</v>
      </c>
      <c r="D190" s="92">
        <v>97.68</v>
      </c>
      <c r="E190" s="92">
        <v>0</v>
      </c>
      <c r="F190" s="92">
        <v>0</v>
      </c>
      <c r="G190" s="92">
        <v>0</v>
      </c>
      <c r="H190" s="92">
        <f t="shared" si="130"/>
        <v>151.70000000000002</v>
      </c>
      <c r="I190" s="72">
        <v>72280</v>
      </c>
      <c r="J190" s="72">
        <v>145761</v>
      </c>
      <c r="K190" s="72">
        <f t="shared" si="99"/>
        <v>73481</v>
      </c>
      <c r="L190" s="72">
        <v>203</v>
      </c>
      <c r="M190" s="72">
        <v>271</v>
      </c>
      <c r="N190" s="72">
        <v>86</v>
      </c>
      <c r="O190" s="72">
        <v>19749</v>
      </c>
      <c r="P190" s="72">
        <v>13688</v>
      </c>
      <c r="Q190" s="72">
        <v>2060</v>
      </c>
      <c r="R190" s="72">
        <v>116</v>
      </c>
      <c r="S190" s="72">
        <v>93919</v>
      </c>
      <c r="T190" s="72">
        <f t="shared" si="131"/>
        <v>421614</v>
      </c>
      <c r="U190" s="73" t="s">
        <v>327</v>
      </c>
      <c r="V190" s="117"/>
      <c r="W190" s="74"/>
      <c r="X190" s="75">
        <f t="shared" si="129"/>
        <v>1.6670785500749413E-4</v>
      </c>
      <c r="Y190" s="75">
        <f t="shared" si="129"/>
        <v>3.0144434056149621E-4</v>
      </c>
      <c r="Z190" s="75">
        <f t="shared" si="129"/>
        <v>0</v>
      </c>
      <c r="AA190" s="75">
        <f t="shared" si="129"/>
        <v>0</v>
      </c>
      <c r="AB190" s="75">
        <f t="shared" si="129"/>
        <v>0</v>
      </c>
      <c r="AC190" s="75">
        <f t="shared" si="129"/>
        <v>4.6815219556899036E-4</v>
      </c>
      <c r="AD190" s="75">
        <f t="shared" si="129"/>
        <v>0.22305893668903506</v>
      </c>
      <c r="AE190" s="75">
        <f t="shared" si="127"/>
        <v>6.2646602307518152E-4</v>
      </c>
      <c r="AF190" s="75">
        <f t="shared" si="127"/>
        <v>8.3631671060775464E-4</v>
      </c>
      <c r="AG190" s="75">
        <f t="shared" si="127"/>
        <v>2.6539939893825421E-4</v>
      </c>
      <c r="AH190" s="75">
        <f t="shared" si="127"/>
        <v>6.0946194530599802E-2</v>
      </c>
      <c r="AI190" s="75">
        <f t="shared" si="127"/>
        <v>4.2241708984497951E-2</v>
      </c>
      <c r="AJ190" s="75">
        <f t="shared" si="127"/>
        <v>6.3572414164279507E-3</v>
      </c>
      <c r="AK190" s="75">
        <f t="shared" si="127"/>
        <v>3.5798058461438943E-4</v>
      </c>
      <c r="AL190" s="75">
        <f t="shared" si="127"/>
        <v>0.28983774591723138</v>
      </c>
      <c r="AM190" s="75">
        <f t="shared" si="126"/>
        <v>1.3011174672552688</v>
      </c>
      <c r="AN190" s="75"/>
      <c r="AO190" s="75"/>
      <c r="AP190" s="76" t="e">
        <f>+VLOOKUP($A190,#REF!,2,FALSE)</f>
        <v>#REF!</v>
      </c>
    </row>
    <row r="191" spans="1:42" s="77" customFormat="1">
      <c r="A191" s="78" t="s">
        <v>106</v>
      </c>
      <c r="B191" s="72">
        <v>117532.4</v>
      </c>
      <c r="C191" s="92">
        <v>230.13</v>
      </c>
      <c r="D191" s="92">
        <v>26.86</v>
      </c>
      <c r="E191" s="92">
        <v>0</v>
      </c>
      <c r="F191" s="92">
        <v>176.70999999999998</v>
      </c>
      <c r="G191" s="92">
        <v>0</v>
      </c>
      <c r="H191" s="92">
        <f t="shared" si="130"/>
        <v>433.7</v>
      </c>
      <c r="I191" s="72">
        <f>40075-4320</f>
        <v>35755</v>
      </c>
      <c r="J191" s="72">
        <v>45115</v>
      </c>
      <c r="K191" s="72">
        <f t="shared" si="99"/>
        <v>9360</v>
      </c>
      <c r="L191" s="72">
        <v>0</v>
      </c>
      <c r="M191" s="72">
        <v>0</v>
      </c>
      <c r="N191" s="72">
        <v>0</v>
      </c>
      <c r="O191" s="72">
        <v>27816</v>
      </c>
      <c r="P191" s="72">
        <v>5939</v>
      </c>
      <c r="Q191" s="72">
        <v>43</v>
      </c>
      <c r="R191" s="72">
        <v>0</v>
      </c>
      <c r="S191" s="72">
        <v>47979</v>
      </c>
      <c r="T191" s="72">
        <f t="shared" si="131"/>
        <v>172007</v>
      </c>
      <c r="U191" s="73" t="s">
        <v>327</v>
      </c>
      <c r="V191" s="117"/>
      <c r="W191" s="74"/>
      <c r="X191" s="75">
        <f t="shared" si="129"/>
        <v>1.9580132797424369E-3</v>
      </c>
      <c r="Y191" s="75">
        <f t="shared" si="129"/>
        <v>2.285327279967056E-4</v>
      </c>
      <c r="Z191" s="75">
        <f t="shared" si="129"/>
        <v>0</v>
      </c>
      <c r="AA191" s="75">
        <f t="shared" si="129"/>
        <v>1.5035003114034938E-3</v>
      </c>
      <c r="AB191" s="75">
        <f t="shared" si="129"/>
        <v>0</v>
      </c>
      <c r="AC191" s="75">
        <f t="shared" si="129"/>
        <v>3.6900463191426366E-3</v>
      </c>
      <c r="AD191" s="75">
        <f t="shared" si="129"/>
        <v>0.30421398695168311</v>
      </c>
      <c r="AE191" s="75">
        <f t="shared" si="127"/>
        <v>0</v>
      </c>
      <c r="AF191" s="75">
        <f t="shared" si="127"/>
        <v>0</v>
      </c>
      <c r="AG191" s="75">
        <f t="shared" si="127"/>
        <v>0</v>
      </c>
      <c r="AH191" s="75">
        <f t="shared" si="127"/>
        <v>0.2366666553222771</v>
      </c>
      <c r="AI191" s="75">
        <f t="shared" si="127"/>
        <v>5.0530747266285723E-2</v>
      </c>
      <c r="AJ191" s="75">
        <f t="shared" si="127"/>
        <v>3.6585656380708643E-4</v>
      </c>
      <c r="AK191" s="75">
        <f t="shared" si="127"/>
        <v>0</v>
      </c>
      <c r="AL191" s="75">
        <f t="shared" si="127"/>
        <v>0.40821935057907438</v>
      </c>
      <c r="AM191" s="75">
        <f t="shared" si="126"/>
        <v>1.4634858132736166</v>
      </c>
      <c r="AN191" s="75"/>
      <c r="AO191" s="75"/>
      <c r="AP191" s="76" t="e">
        <f>+VLOOKUP($A191,#REF!,2,FALSE)</f>
        <v>#REF!</v>
      </c>
    </row>
    <row r="192" spans="1:42" s="77" customFormat="1">
      <c r="A192" s="80" t="s">
        <v>9</v>
      </c>
      <c r="B192" s="90">
        <f>SUM(B184:B191)</f>
        <v>931246.54</v>
      </c>
      <c r="C192" s="93">
        <f t="shared" ref="C192:T192" si="132">SUM(C184:C191)</f>
        <v>680.53599999999994</v>
      </c>
      <c r="D192" s="93">
        <f t="shared" si="132"/>
        <v>158.12672000000003</v>
      </c>
      <c r="E192" s="93">
        <f t="shared" si="132"/>
        <v>1.1465000000000001</v>
      </c>
      <c r="F192" s="93">
        <f t="shared" si="132"/>
        <v>350.50899999999996</v>
      </c>
      <c r="G192" s="93">
        <f t="shared" si="132"/>
        <v>31.399000000000001</v>
      </c>
      <c r="H192" s="93">
        <f t="shared" si="132"/>
        <v>1221.7172200000002</v>
      </c>
      <c r="I192" s="90">
        <f t="shared" si="132"/>
        <v>144542</v>
      </c>
      <c r="J192" s="90">
        <f t="shared" si="132"/>
        <v>306120</v>
      </c>
      <c r="K192" s="90">
        <f t="shared" si="132"/>
        <v>161578</v>
      </c>
      <c r="L192" s="90">
        <f t="shared" si="132"/>
        <v>1058</v>
      </c>
      <c r="M192" s="90">
        <f t="shared" si="132"/>
        <v>3597</v>
      </c>
      <c r="N192" s="90">
        <f t="shared" si="132"/>
        <v>116</v>
      </c>
      <c r="O192" s="90">
        <f t="shared" si="132"/>
        <v>100745</v>
      </c>
      <c r="P192" s="90">
        <f t="shared" si="132"/>
        <v>227945</v>
      </c>
      <c r="Q192" s="90">
        <f t="shared" si="132"/>
        <v>4376</v>
      </c>
      <c r="R192" s="90">
        <f t="shared" si="132"/>
        <v>3974</v>
      </c>
      <c r="S192" s="90">
        <f t="shared" si="132"/>
        <v>183155</v>
      </c>
      <c r="T192" s="90">
        <f t="shared" si="132"/>
        <v>1137206</v>
      </c>
      <c r="U192" s="80"/>
      <c r="V192" s="117"/>
      <c r="W192" s="74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6"/>
    </row>
    <row r="193" spans="1:42" s="77" customFormat="1">
      <c r="A193" s="81" t="s">
        <v>345</v>
      </c>
      <c r="B193" s="72"/>
      <c r="C193" s="92"/>
      <c r="D193" s="92"/>
      <c r="E193" s="92"/>
      <c r="F193" s="92"/>
      <c r="G193" s="92"/>
      <c r="H193" s="9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3"/>
      <c r="V193" s="117"/>
      <c r="W193" s="74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6"/>
    </row>
    <row r="194" spans="1:42" s="77" customFormat="1">
      <c r="A194" s="78" t="s">
        <v>217</v>
      </c>
      <c r="B194" s="72">
        <v>165085.75999999998</v>
      </c>
      <c r="C194" s="92">
        <v>120.76299999999999</v>
      </c>
      <c r="D194" s="92">
        <v>10.53185</v>
      </c>
      <c r="E194" s="92">
        <v>0.251</v>
      </c>
      <c r="F194" s="92">
        <v>25.094999999999999</v>
      </c>
      <c r="G194" s="92">
        <v>12.42</v>
      </c>
      <c r="H194" s="92">
        <f t="shared" ref="H194:H199" si="133">SUM(C194:G194)</f>
        <v>169.06084999999999</v>
      </c>
      <c r="I194" s="72">
        <v>72556</v>
      </c>
      <c r="J194" s="72">
        <v>73016</v>
      </c>
      <c r="K194" s="72">
        <f t="shared" si="99"/>
        <v>460</v>
      </c>
      <c r="L194" s="72">
        <v>800</v>
      </c>
      <c r="M194" s="72">
        <v>340</v>
      </c>
      <c r="N194" s="72">
        <v>10</v>
      </c>
      <c r="O194" s="72">
        <v>6997</v>
      </c>
      <c r="P194" s="72">
        <v>30800</v>
      </c>
      <c r="Q194" s="72">
        <v>148</v>
      </c>
      <c r="R194" s="72">
        <v>0</v>
      </c>
      <c r="S194" s="72">
        <v>12</v>
      </c>
      <c r="T194" s="72">
        <f t="shared" ref="T194:T199" si="134">SUM(I194:S194)</f>
        <v>185139</v>
      </c>
      <c r="U194" s="73" t="s">
        <v>327</v>
      </c>
      <c r="V194" s="117"/>
      <c r="W194" s="74"/>
      <c r="X194" s="75">
        <f t="shared" ref="X194:AD199" si="135">+C194/$B194</f>
        <v>7.3151675832003923E-4</v>
      </c>
      <c r="Y194" s="75">
        <f t="shared" si="135"/>
        <v>6.3796235362759336E-5</v>
      </c>
      <c r="Z194" s="75">
        <f t="shared" si="135"/>
        <v>1.5204218704266196E-6</v>
      </c>
      <c r="AA194" s="75">
        <f t="shared" si="135"/>
        <v>1.5201189975440644E-4</v>
      </c>
      <c r="AB194" s="75">
        <f t="shared" si="135"/>
        <v>7.5233624026687707E-5</v>
      </c>
      <c r="AC194" s="75">
        <f t="shared" si="135"/>
        <v>1.0240789393343194E-3</v>
      </c>
      <c r="AD194" s="75">
        <f t="shared" si="135"/>
        <v>0.43950489733336179</v>
      </c>
      <c r="AE194" s="75">
        <f t="shared" si="127"/>
        <v>4.8459661208816564E-3</v>
      </c>
      <c r="AF194" s="75">
        <f t="shared" si="127"/>
        <v>2.0595356013747039E-3</v>
      </c>
      <c r="AG194" s="75">
        <f t="shared" si="127"/>
        <v>6.0574576511020705E-5</v>
      </c>
      <c r="AH194" s="75">
        <f t="shared" si="127"/>
        <v>4.2384031184761188E-2</v>
      </c>
      <c r="AI194" s="75">
        <f t="shared" si="127"/>
        <v>0.18656969565394377</v>
      </c>
      <c r="AJ194" s="75">
        <f t="shared" si="127"/>
        <v>8.9650373236310646E-4</v>
      </c>
      <c r="AK194" s="75">
        <f t="shared" si="127"/>
        <v>0</v>
      </c>
      <c r="AL194" s="75">
        <f t="shared" si="127"/>
        <v>7.2689491813224838E-5</v>
      </c>
      <c r="AM194" s="75">
        <f t="shared" si="126"/>
        <v>1.1214716520673862</v>
      </c>
      <c r="AN194" s="75"/>
      <c r="AO194" s="75"/>
      <c r="AP194" s="76" t="e">
        <f>+VLOOKUP($A194,#REF!,2,FALSE)</f>
        <v>#REF!</v>
      </c>
    </row>
    <row r="195" spans="1:42" s="77" customFormat="1">
      <c r="A195" s="78" t="s">
        <v>150</v>
      </c>
      <c r="B195" s="72">
        <v>272348.3</v>
      </c>
      <c r="C195" s="92">
        <v>145.33999999999997</v>
      </c>
      <c r="D195" s="92">
        <v>1.5840000000000001</v>
      </c>
      <c r="E195" s="92">
        <v>0</v>
      </c>
      <c r="F195" s="92">
        <v>0.9</v>
      </c>
      <c r="G195" s="92">
        <v>0.79</v>
      </c>
      <c r="H195" s="92">
        <f t="shared" si="133"/>
        <v>148.61399999999998</v>
      </c>
      <c r="I195" s="72">
        <v>118200</v>
      </c>
      <c r="J195" s="72">
        <v>115600</v>
      </c>
      <c r="K195" s="72">
        <f t="shared" si="99"/>
        <v>-2600</v>
      </c>
      <c r="L195" s="72">
        <v>0</v>
      </c>
      <c r="M195" s="72">
        <v>0</v>
      </c>
      <c r="N195" s="72">
        <v>0</v>
      </c>
      <c r="O195" s="72">
        <v>3932</v>
      </c>
      <c r="P195" s="72">
        <v>47633</v>
      </c>
      <c r="Q195" s="72">
        <v>360</v>
      </c>
      <c r="R195" s="72">
        <v>10</v>
      </c>
      <c r="S195" s="72">
        <v>2040</v>
      </c>
      <c r="T195" s="72">
        <f t="shared" si="134"/>
        <v>285175</v>
      </c>
      <c r="U195" s="73" t="s">
        <v>327</v>
      </c>
      <c r="V195" s="117"/>
      <c r="W195" s="74"/>
      <c r="X195" s="75">
        <f t="shared" si="135"/>
        <v>5.336548823693777E-4</v>
      </c>
      <c r="Y195" s="75">
        <f t="shared" si="135"/>
        <v>5.8160818334463632E-6</v>
      </c>
      <c r="Z195" s="75">
        <f t="shared" si="135"/>
        <v>0</v>
      </c>
      <c r="AA195" s="75">
        <f t="shared" si="135"/>
        <v>3.3045919508217972E-6</v>
      </c>
      <c r="AB195" s="75">
        <f t="shared" si="135"/>
        <v>2.9006973790546886E-6</v>
      </c>
      <c r="AC195" s="75">
        <f t="shared" si="135"/>
        <v>5.4567625353270051E-4</v>
      </c>
      <c r="AD195" s="75">
        <f t="shared" si="135"/>
        <v>0.43400307620792933</v>
      </c>
      <c r="AE195" s="75">
        <f t="shared" si="127"/>
        <v>0</v>
      </c>
      <c r="AF195" s="75">
        <f t="shared" si="127"/>
        <v>0</v>
      </c>
      <c r="AG195" s="75">
        <f t="shared" si="127"/>
        <v>0</v>
      </c>
      <c r="AH195" s="75">
        <f t="shared" si="127"/>
        <v>1.4437395056257006E-2</v>
      </c>
      <c r="AI195" s="75">
        <f t="shared" si="127"/>
        <v>0.17489736488166074</v>
      </c>
      <c r="AJ195" s="75">
        <f t="shared" si="127"/>
        <v>1.3218367803287188E-3</v>
      </c>
      <c r="AK195" s="75">
        <f t="shared" si="127"/>
        <v>3.6717688342464409E-5</v>
      </c>
      <c r="AL195" s="75">
        <f t="shared" si="127"/>
        <v>7.4904084218627397E-3</v>
      </c>
      <c r="AM195" s="75">
        <f t="shared" si="126"/>
        <v>1.0470966773062289</v>
      </c>
      <c r="AN195" s="75"/>
      <c r="AO195" s="75"/>
      <c r="AP195" s="76" t="e">
        <f>+VLOOKUP($A195,#REF!,2,FALSE)</f>
        <v>#REF!</v>
      </c>
    </row>
    <row r="196" spans="1:42" s="77" customFormat="1">
      <c r="A196" s="78" t="s">
        <v>220</v>
      </c>
      <c r="B196" s="72">
        <v>40370.46</v>
      </c>
      <c r="C196" s="92">
        <v>15.9</v>
      </c>
      <c r="D196" s="92">
        <v>4.68</v>
      </c>
      <c r="E196" s="92">
        <v>0</v>
      </c>
      <c r="F196" s="92">
        <v>6.33</v>
      </c>
      <c r="G196" s="92">
        <v>0</v>
      </c>
      <c r="H196" s="92">
        <f t="shared" si="133"/>
        <v>26.909999999999997</v>
      </c>
      <c r="I196" s="72">
        <v>11634</v>
      </c>
      <c r="J196" s="72">
        <v>9226.4599999999991</v>
      </c>
      <c r="K196" s="72">
        <f t="shared" si="99"/>
        <v>-2407.5400000000009</v>
      </c>
      <c r="L196" s="72">
        <v>0</v>
      </c>
      <c r="M196" s="72">
        <v>0</v>
      </c>
      <c r="N196" s="72">
        <v>100</v>
      </c>
      <c r="O196" s="72">
        <v>1847</v>
      </c>
      <c r="P196" s="72">
        <v>20225</v>
      </c>
      <c r="Q196" s="72">
        <v>15</v>
      </c>
      <c r="R196" s="72">
        <v>340</v>
      </c>
      <c r="S196" s="72">
        <v>5956</v>
      </c>
      <c r="T196" s="72">
        <f t="shared" si="134"/>
        <v>46935.92</v>
      </c>
      <c r="U196" s="73" t="s">
        <v>326</v>
      </c>
      <c r="V196" s="117"/>
      <c r="W196" s="74"/>
      <c r="X196" s="75">
        <f t="shared" si="135"/>
        <v>3.9385233658472064E-4</v>
      </c>
      <c r="Y196" s="75">
        <f t="shared" si="135"/>
        <v>1.1592634812682342E-4</v>
      </c>
      <c r="Z196" s="75">
        <f t="shared" si="135"/>
        <v>0</v>
      </c>
      <c r="AA196" s="75">
        <f t="shared" si="135"/>
        <v>1.5679781701769067E-4</v>
      </c>
      <c r="AB196" s="75">
        <f t="shared" si="135"/>
        <v>0</v>
      </c>
      <c r="AC196" s="75">
        <f t="shared" si="135"/>
        <v>6.6657650172923465E-4</v>
      </c>
      <c r="AD196" s="75">
        <f t="shared" si="135"/>
        <v>0.28818101156142389</v>
      </c>
      <c r="AE196" s="75">
        <f t="shared" si="127"/>
        <v>0</v>
      </c>
      <c r="AF196" s="75">
        <f t="shared" si="127"/>
        <v>0</v>
      </c>
      <c r="AG196" s="75">
        <f t="shared" si="127"/>
        <v>2.4770587206586203E-3</v>
      </c>
      <c r="AH196" s="75">
        <f t="shared" si="127"/>
        <v>4.5751274570564715E-2</v>
      </c>
      <c r="AI196" s="75">
        <f t="shared" si="127"/>
        <v>0.5009851262532059</v>
      </c>
      <c r="AJ196" s="75">
        <f t="shared" si="127"/>
        <v>3.7155880809879304E-4</v>
      </c>
      <c r="AK196" s="75">
        <f t="shared" si="127"/>
        <v>8.421999650239308E-3</v>
      </c>
      <c r="AL196" s="75">
        <f t="shared" si="127"/>
        <v>0.14753361740242743</v>
      </c>
      <c r="AM196" s="75">
        <f t="shared" si="126"/>
        <v>1.1626302994813533</v>
      </c>
      <c r="AN196" s="75"/>
      <c r="AO196" s="75"/>
      <c r="AP196" s="76" t="e">
        <f>+VLOOKUP($A196,#REF!,2,FALSE)</f>
        <v>#REF!</v>
      </c>
    </row>
    <row r="197" spans="1:42" s="77" customFormat="1">
      <c r="A197" s="79" t="s">
        <v>80</v>
      </c>
      <c r="B197" s="72">
        <v>114761.82999999999</v>
      </c>
      <c r="C197" s="92">
        <v>35.43</v>
      </c>
      <c r="D197" s="92">
        <v>2.282</v>
      </c>
      <c r="E197" s="92">
        <v>5.1999999999999998E-2</v>
      </c>
      <c r="F197" s="92">
        <v>3.629</v>
      </c>
      <c r="G197" s="92">
        <v>0</v>
      </c>
      <c r="H197" s="92">
        <f t="shared" si="133"/>
        <v>41.393000000000001</v>
      </c>
      <c r="I197" s="72">
        <v>17487</v>
      </c>
      <c r="J197" s="72">
        <v>15310</v>
      </c>
      <c r="K197" s="72">
        <f t="shared" si="99"/>
        <v>-2177</v>
      </c>
      <c r="L197" s="72">
        <v>340</v>
      </c>
      <c r="M197" s="72">
        <v>753</v>
      </c>
      <c r="N197" s="72">
        <v>0</v>
      </c>
      <c r="O197" s="72">
        <v>7710</v>
      </c>
      <c r="P197" s="72">
        <v>15288</v>
      </c>
      <c r="Q197" s="72">
        <v>147</v>
      </c>
      <c r="R197" s="72">
        <v>80</v>
      </c>
      <c r="S197" s="72">
        <v>200</v>
      </c>
      <c r="T197" s="72">
        <f t="shared" si="134"/>
        <v>55138</v>
      </c>
      <c r="U197" s="73" t="s">
        <v>326</v>
      </c>
      <c r="V197" s="117"/>
      <c r="W197" s="74"/>
      <c r="X197" s="75">
        <f t="shared" si="135"/>
        <v>3.0872634219931841E-4</v>
      </c>
      <c r="Y197" s="75">
        <f t="shared" si="135"/>
        <v>1.9884660256811872E-5</v>
      </c>
      <c r="Z197" s="75">
        <f t="shared" si="135"/>
        <v>4.5311232837608119E-7</v>
      </c>
      <c r="AA197" s="75">
        <f t="shared" si="135"/>
        <v>3.1622012301476898E-5</v>
      </c>
      <c r="AB197" s="75">
        <f t="shared" si="135"/>
        <v>0</v>
      </c>
      <c r="AC197" s="75">
        <f t="shared" si="135"/>
        <v>3.6068612708598327E-4</v>
      </c>
      <c r="AD197" s="75">
        <f t="shared" si="135"/>
        <v>0.15237644781370255</v>
      </c>
      <c r="AE197" s="75">
        <f t="shared" si="127"/>
        <v>2.9626575316897617E-3</v>
      </c>
      <c r="AF197" s="75">
        <f t="shared" si="127"/>
        <v>6.5614150628305603E-3</v>
      </c>
      <c r="AG197" s="75">
        <f t="shared" si="127"/>
        <v>0</v>
      </c>
      <c r="AH197" s="75">
        <f t="shared" si="127"/>
        <v>6.7182616380376647E-2</v>
      </c>
      <c r="AI197" s="75">
        <f t="shared" si="127"/>
        <v>0.13321502454256787</v>
      </c>
      <c r="AJ197" s="75">
        <f t="shared" si="127"/>
        <v>1.2809136975246911E-3</v>
      </c>
      <c r="AK197" s="75">
        <f t="shared" si="127"/>
        <v>6.9709588980935565E-4</v>
      </c>
      <c r="AL197" s="75">
        <f t="shared" si="127"/>
        <v>1.7427397245233893E-3</v>
      </c>
      <c r="AM197" s="75">
        <f t="shared" si="126"/>
        <v>0.48045591465385318</v>
      </c>
      <c r="AN197" s="75"/>
      <c r="AO197" s="75"/>
      <c r="AP197" s="76" t="e">
        <f>+VLOOKUP($A197,#REF!,2,FALSE)</f>
        <v>#REF!</v>
      </c>
    </row>
    <row r="198" spans="1:42" s="77" customFormat="1">
      <c r="A198" s="79" t="s">
        <v>218</v>
      </c>
      <c r="B198" s="72">
        <v>374375</v>
      </c>
      <c r="C198" s="92">
        <v>59.3</v>
      </c>
      <c r="D198" s="92">
        <v>0</v>
      </c>
      <c r="E198" s="92">
        <v>0</v>
      </c>
      <c r="F198" s="92">
        <v>0</v>
      </c>
      <c r="G198" s="92">
        <v>0</v>
      </c>
      <c r="H198" s="92">
        <f t="shared" si="133"/>
        <v>59.3</v>
      </c>
      <c r="I198" s="72">
        <v>53184</v>
      </c>
      <c r="J198" s="72">
        <v>147377</v>
      </c>
      <c r="K198" s="72">
        <f t="shared" si="99"/>
        <v>94193</v>
      </c>
      <c r="L198" s="72">
        <v>4808</v>
      </c>
      <c r="M198" s="72">
        <v>3289</v>
      </c>
      <c r="N198" s="72">
        <v>16</v>
      </c>
      <c r="O198" s="72">
        <v>13054</v>
      </c>
      <c r="P198" s="72">
        <v>12365</v>
      </c>
      <c r="Q198" s="72">
        <v>5861</v>
      </c>
      <c r="R198" s="72">
        <v>1677</v>
      </c>
      <c r="S198" s="72">
        <v>0</v>
      </c>
      <c r="T198" s="72">
        <f t="shared" si="134"/>
        <v>335824</v>
      </c>
      <c r="U198" s="73" t="s">
        <v>327</v>
      </c>
      <c r="V198" s="117"/>
      <c r="W198" s="74"/>
      <c r="X198" s="75">
        <f t="shared" si="135"/>
        <v>1.583973288814691E-4</v>
      </c>
      <c r="Y198" s="75">
        <f t="shared" si="135"/>
        <v>0</v>
      </c>
      <c r="Z198" s="75">
        <f t="shared" si="135"/>
        <v>0</v>
      </c>
      <c r="AA198" s="75">
        <f t="shared" si="135"/>
        <v>0</v>
      </c>
      <c r="AB198" s="75">
        <f t="shared" si="135"/>
        <v>0</v>
      </c>
      <c r="AC198" s="75">
        <f t="shared" si="135"/>
        <v>1.583973288814691E-4</v>
      </c>
      <c r="AD198" s="75">
        <f t="shared" si="135"/>
        <v>0.14206076794657763</v>
      </c>
      <c r="AE198" s="75">
        <f t="shared" ref="AE198:AL207" si="136">+L198/$B198</f>
        <v>1.2842737896494157E-2</v>
      </c>
      <c r="AF198" s="75">
        <f t="shared" si="136"/>
        <v>8.7853088480801343E-3</v>
      </c>
      <c r="AG198" s="75">
        <f t="shared" si="136"/>
        <v>4.2737896494156926E-5</v>
      </c>
      <c r="AH198" s="75">
        <f t="shared" si="136"/>
        <v>3.4868781302170283E-2</v>
      </c>
      <c r="AI198" s="75">
        <f t="shared" si="136"/>
        <v>3.3028380634390654E-2</v>
      </c>
      <c r="AJ198" s="75">
        <f t="shared" si="136"/>
        <v>1.565542570951586E-2</v>
      </c>
      <c r="AK198" s="75">
        <f t="shared" si="136"/>
        <v>4.4794657762938228E-3</v>
      </c>
      <c r="AL198" s="75">
        <f t="shared" si="136"/>
        <v>0</v>
      </c>
      <c r="AM198" s="75">
        <f t="shared" si="126"/>
        <v>0.8970257095158598</v>
      </c>
      <c r="AN198" s="75"/>
      <c r="AO198" s="75"/>
      <c r="AP198" s="76" t="e">
        <f>+VLOOKUP($A198,#REF!,2,FALSE)</f>
        <v>#REF!</v>
      </c>
    </row>
    <row r="199" spans="1:42" s="77" customFormat="1">
      <c r="A199" s="79" t="s">
        <v>151</v>
      </c>
      <c r="B199" s="72">
        <v>101437.5</v>
      </c>
      <c r="C199" s="92">
        <v>51.228640471496512</v>
      </c>
      <c r="D199" s="92">
        <v>1.6960000000000011</v>
      </c>
      <c r="E199" s="92">
        <v>0</v>
      </c>
      <c r="F199" s="92">
        <v>1.6960000000000011</v>
      </c>
      <c r="G199" s="92">
        <v>0</v>
      </c>
      <c r="H199" s="92">
        <f t="shared" si="133"/>
        <v>54.620640471496507</v>
      </c>
      <c r="I199" s="72">
        <v>5630</v>
      </c>
      <c r="J199" s="72">
        <v>6280</v>
      </c>
      <c r="K199" s="72">
        <f t="shared" si="99"/>
        <v>650</v>
      </c>
      <c r="L199" s="72">
        <v>0</v>
      </c>
      <c r="M199" s="72">
        <v>0</v>
      </c>
      <c r="N199" s="72">
        <v>0</v>
      </c>
      <c r="O199" s="72">
        <v>2163</v>
      </c>
      <c r="P199" s="72">
        <v>64843</v>
      </c>
      <c r="Q199" s="72">
        <v>768</v>
      </c>
      <c r="R199" s="72">
        <v>0</v>
      </c>
      <c r="S199" s="72">
        <v>44</v>
      </c>
      <c r="T199" s="72">
        <f t="shared" si="134"/>
        <v>80378</v>
      </c>
      <c r="U199" s="73" t="s">
        <v>327</v>
      </c>
      <c r="V199" s="117"/>
      <c r="W199" s="74"/>
      <c r="X199" s="75">
        <f t="shared" si="135"/>
        <v>5.0502664666909685E-4</v>
      </c>
      <c r="Y199" s="75">
        <f t="shared" si="135"/>
        <v>1.6719654959950719E-5</v>
      </c>
      <c r="Z199" s="75">
        <f t="shared" si="135"/>
        <v>0</v>
      </c>
      <c r="AA199" s="75">
        <f t="shared" si="135"/>
        <v>1.6719654959950719E-5</v>
      </c>
      <c r="AB199" s="75">
        <f t="shared" si="135"/>
        <v>0</v>
      </c>
      <c r="AC199" s="75">
        <f t="shared" si="135"/>
        <v>5.3846595658899824E-4</v>
      </c>
      <c r="AD199" s="75">
        <f t="shared" si="135"/>
        <v>5.550215650030807E-2</v>
      </c>
      <c r="AE199" s="75">
        <f t="shared" si="136"/>
        <v>0</v>
      </c>
      <c r="AF199" s="75">
        <f t="shared" si="136"/>
        <v>0</v>
      </c>
      <c r="AG199" s="75">
        <f t="shared" si="136"/>
        <v>0</v>
      </c>
      <c r="AH199" s="75">
        <f t="shared" si="136"/>
        <v>2.1323475046210721E-2</v>
      </c>
      <c r="AI199" s="75">
        <f t="shared" si="136"/>
        <v>0.63924091189155885</v>
      </c>
      <c r="AJ199" s="75">
        <f t="shared" si="136"/>
        <v>7.5711645101663588E-3</v>
      </c>
      <c r="AK199" s="75">
        <f t="shared" si="136"/>
        <v>0</v>
      </c>
      <c r="AL199" s="75">
        <f t="shared" si="136"/>
        <v>4.3376463339494761E-4</v>
      </c>
      <c r="AM199" s="75">
        <f t="shared" si="126"/>
        <v>0.79238940234134314</v>
      </c>
      <c r="AN199" s="75"/>
      <c r="AO199" s="75"/>
      <c r="AP199" s="76" t="e">
        <f>+VLOOKUP($A199,#REF!,2,FALSE)</f>
        <v>#REF!</v>
      </c>
    </row>
    <row r="200" spans="1:42" s="77" customFormat="1">
      <c r="A200" s="80" t="s">
        <v>9</v>
      </c>
      <c r="B200" s="90">
        <f>SUM(B194:B199)</f>
        <v>1068378.8500000001</v>
      </c>
      <c r="C200" s="93">
        <f t="shared" ref="C200:T200" si="137">SUM(C194:C199)</f>
        <v>427.96164047149648</v>
      </c>
      <c r="D200" s="93">
        <f t="shared" si="137"/>
        <v>20.773850000000003</v>
      </c>
      <c r="E200" s="93">
        <f t="shared" si="137"/>
        <v>0.30299999999999999</v>
      </c>
      <c r="F200" s="93">
        <f t="shared" si="137"/>
        <v>37.649999999999991</v>
      </c>
      <c r="G200" s="93">
        <f t="shared" si="137"/>
        <v>13.21</v>
      </c>
      <c r="H200" s="93">
        <f t="shared" si="137"/>
        <v>499.89849047149653</v>
      </c>
      <c r="I200" s="90">
        <f t="shared" si="137"/>
        <v>278691</v>
      </c>
      <c r="J200" s="90">
        <f t="shared" si="137"/>
        <v>366809.45999999996</v>
      </c>
      <c r="K200" s="90">
        <f t="shared" si="137"/>
        <v>88118.459999999992</v>
      </c>
      <c r="L200" s="90">
        <f t="shared" si="137"/>
        <v>5948</v>
      </c>
      <c r="M200" s="90">
        <f t="shared" si="137"/>
        <v>4382</v>
      </c>
      <c r="N200" s="90">
        <f t="shared" si="137"/>
        <v>126</v>
      </c>
      <c r="O200" s="90">
        <f t="shared" si="137"/>
        <v>35703</v>
      </c>
      <c r="P200" s="90">
        <f t="shared" si="137"/>
        <v>191154</v>
      </c>
      <c r="Q200" s="90">
        <f t="shared" si="137"/>
        <v>7299</v>
      </c>
      <c r="R200" s="90">
        <f t="shared" si="137"/>
        <v>2107</v>
      </c>
      <c r="S200" s="90">
        <f t="shared" si="137"/>
        <v>8252</v>
      </c>
      <c r="T200" s="90">
        <f t="shared" si="137"/>
        <v>988589.91999999993</v>
      </c>
      <c r="U200" s="80"/>
      <c r="V200" s="117"/>
      <c r="W200" s="74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6"/>
    </row>
    <row r="201" spans="1:42" s="77" customFormat="1">
      <c r="A201" s="81" t="s">
        <v>346</v>
      </c>
      <c r="B201" s="72"/>
      <c r="C201" s="92"/>
      <c r="D201" s="92"/>
      <c r="E201" s="92"/>
      <c r="F201" s="92"/>
      <c r="G201" s="92"/>
      <c r="H201" s="9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3"/>
      <c r="V201" s="117"/>
      <c r="W201" s="74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6"/>
    </row>
    <row r="202" spans="1:42" s="77" customFormat="1">
      <c r="A202" s="79" t="s">
        <v>182</v>
      </c>
      <c r="B202" s="72">
        <v>0</v>
      </c>
      <c r="C202" s="92">
        <v>0</v>
      </c>
      <c r="D202" s="92">
        <v>0</v>
      </c>
      <c r="E202" s="92">
        <v>0</v>
      </c>
      <c r="F202" s="92">
        <v>0</v>
      </c>
      <c r="G202" s="92">
        <v>0</v>
      </c>
      <c r="H202" s="92">
        <f t="shared" ref="H202:H207" si="138">SUM(C202:G202)</f>
        <v>0</v>
      </c>
      <c r="I202" s="72">
        <v>0</v>
      </c>
      <c r="J202" s="72">
        <v>0</v>
      </c>
      <c r="K202" s="72">
        <f t="shared" ref="K202:K207" si="139">J202-I202</f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v>0</v>
      </c>
      <c r="S202" s="72">
        <v>0</v>
      </c>
      <c r="T202" s="72">
        <f t="shared" ref="T202:T207" si="140">SUM(I202:S202)</f>
        <v>0</v>
      </c>
      <c r="U202" s="73" t="s">
        <v>327</v>
      </c>
      <c r="V202" s="116"/>
      <c r="W202" s="74" t="s">
        <v>347</v>
      </c>
      <c r="X202" s="75" t="e">
        <f t="shared" ref="X202:AD207" si="141">+C202/$B202</f>
        <v>#DIV/0!</v>
      </c>
      <c r="Y202" s="75" t="e">
        <f t="shared" si="141"/>
        <v>#DIV/0!</v>
      </c>
      <c r="Z202" s="75" t="e">
        <f t="shared" si="141"/>
        <v>#DIV/0!</v>
      </c>
      <c r="AA202" s="75" t="e">
        <f t="shared" si="141"/>
        <v>#DIV/0!</v>
      </c>
      <c r="AB202" s="75" t="e">
        <f t="shared" si="141"/>
        <v>#DIV/0!</v>
      </c>
      <c r="AC202" s="75" t="e">
        <f t="shared" si="141"/>
        <v>#DIV/0!</v>
      </c>
      <c r="AD202" s="75" t="e">
        <f t="shared" si="141"/>
        <v>#DIV/0!</v>
      </c>
      <c r="AE202" s="75" t="e">
        <f t="shared" si="136"/>
        <v>#DIV/0!</v>
      </c>
      <c r="AF202" s="75" t="e">
        <f t="shared" si="136"/>
        <v>#DIV/0!</v>
      </c>
      <c r="AG202" s="75" t="e">
        <f t="shared" si="136"/>
        <v>#DIV/0!</v>
      </c>
      <c r="AH202" s="75" t="e">
        <f t="shared" si="136"/>
        <v>#DIV/0!</v>
      </c>
      <c r="AI202" s="75" t="e">
        <f t="shared" si="136"/>
        <v>#DIV/0!</v>
      </c>
      <c r="AJ202" s="75" t="e">
        <f t="shared" si="136"/>
        <v>#DIV/0!</v>
      </c>
      <c r="AK202" s="75" t="e">
        <f t="shared" si="136"/>
        <v>#DIV/0!</v>
      </c>
      <c r="AL202" s="75" t="e">
        <f t="shared" si="136"/>
        <v>#DIV/0!</v>
      </c>
      <c r="AM202" s="75" t="e">
        <f t="shared" si="126"/>
        <v>#DIV/0!</v>
      </c>
      <c r="AN202" s="75"/>
      <c r="AO202" s="75"/>
      <c r="AP202" s="76" t="e">
        <f>+VLOOKUP($A202,#REF!,2,FALSE)</f>
        <v>#REF!</v>
      </c>
    </row>
    <row r="203" spans="1:42" s="77" customFormat="1">
      <c r="A203" s="79" t="s">
        <v>136</v>
      </c>
      <c r="B203" s="72">
        <v>7445</v>
      </c>
      <c r="C203" s="92">
        <v>1.5476000000000001</v>
      </c>
      <c r="D203" s="92">
        <v>2.2800000000000001E-2</v>
      </c>
      <c r="E203" s="92">
        <v>0</v>
      </c>
      <c r="F203" s="92">
        <v>0</v>
      </c>
      <c r="G203" s="92">
        <v>0</v>
      </c>
      <c r="H203" s="92">
        <f t="shared" si="138"/>
        <v>1.5704</v>
      </c>
      <c r="I203" s="72">
        <v>270</v>
      </c>
      <c r="J203" s="72">
        <v>4965</v>
      </c>
      <c r="K203" s="72">
        <f t="shared" si="139"/>
        <v>4695</v>
      </c>
      <c r="L203" s="72">
        <v>300</v>
      </c>
      <c r="M203" s="72">
        <v>300</v>
      </c>
      <c r="N203" s="72">
        <v>0</v>
      </c>
      <c r="O203" s="72">
        <v>0</v>
      </c>
      <c r="P203" s="72">
        <v>0</v>
      </c>
      <c r="Q203" s="72">
        <v>0</v>
      </c>
      <c r="R203" s="72">
        <v>0</v>
      </c>
      <c r="S203" s="72">
        <v>0</v>
      </c>
      <c r="T203" s="72">
        <f t="shared" si="140"/>
        <v>10530</v>
      </c>
      <c r="U203" s="73" t="s">
        <v>327</v>
      </c>
      <c r="V203" s="117"/>
      <c r="W203" s="74"/>
      <c r="X203" s="75">
        <f t="shared" si="141"/>
        <v>2.0787105439892546E-4</v>
      </c>
      <c r="Y203" s="75">
        <f t="shared" si="141"/>
        <v>3.0624580255204835E-6</v>
      </c>
      <c r="Z203" s="75">
        <f t="shared" si="141"/>
        <v>0</v>
      </c>
      <c r="AA203" s="75">
        <f t="shared" si="141"/>
        <v>0</v>
      </c>
      <c r="AB203" s="75">
        <f t="shared" si="141"/>
        <v>0</v>
      </c>
      <c r="AC203" s="75">
        <f t="shared" si="141"/>
        <v>2.1093351242444593E-4</v>
      </c>
      <c r="AD203" s="75">
        <f t="shared" si="141"/>
        <v>3.626595030221625E-2</v>
      </c>
      <c r="AE203" s="75">
        <f t="shared" si="136"/>
        <v>4.0295500335795834E-2</v>
      </c>
      <c r="AF203" s="75">
        <f t="shared" si="136"/>
        <v>4.0295500335795834E-2</v>
      </c>
      <c r="AG203" s="75">
        <f t="shared" si="136"/>
        <v>0</v>
      </c>
      <c r="AH203" s="75">
        <f t="shared" si="136"/>
        <v>0</v>
      </c>
      <c r="AI203" s="75">
        <f t="shared" si="136"/>
        <v>0</v>
      </c>
      <c r="AJ203" s="75">
        <f t="shared" si="136"/>
        <v>0</v>
      </c>
      <c r="AK203" s="75">
        <f t="shared" si="136"/>
        <v>0</v>
      </c>
      <c r="AL203" s="75">
        <f t="shared" si="136"/>
        <v>0</v>
      </c>
      <c r="AM203" s="75">
        <f t="shared" si="126"/>
        <v>1.4143720617864339</v>
      </c>
      <c r="AN203" s="75"/>
      <c r="AO203" s="75"/>
      <c r="AP203" s="76" t="e">
        <f>+VLOOKUP($A203,#REF!,2,FALSE)</f>
        <v>#REF!</v>
      </c>
    </row>
    <row r="204" spans="1:42" s="77" customFormat="1">
      <c r="A204" s="79" t="s">
        <v>116</v>
      </c>
      <c r="B204" s="72">
        <v>49307</v>
      </c>
      <c r="C204" s="92">
        <v>0</v>
      </c>
      <c r="D204" s="92">
        <v>0</v>
      </c>
      <c r="E204" s="92">
        <v>0</v>
      </c>
      <c r="F204" s="92">
        <v>0</v>
      </c>
      <c r="G204" s="92">
        <v>0</v>
      </c>
      <c r="H204" s="92">
        <f t="shared" si="138"/>
        <v>0</v>
      </c>
      <c r="I204" s="72">
        <v>17600</v>
      </c>
      <c r="J204" s="72">
        <v>17600</v>
      </c>
      <c r="K204" s="72">
        <f t="shared" si="139"/>
        <v>0</v>
      </c>
      <c r="L204" s="72">
        <v>50</v>
      </c>
      <c r="M204" s="72">
        <v>35</v>
      </c>
      <c r="N204" s="72">
        <v>0</v>
      </c>
      <c r="O204" s="72">
        <v>4408</v>
      </c>
      <c r="P204" s="72">
        <v>18002</v>
      </c>
      <c r="Q204" s="72">
        <v>2</v>
      </c>
      <c r="R204" s="72">
        <v>0</v>
      </c>
      <c r="S204" s="72">
        <v>37790</v>
      </c>
      <c r="T204" s="72">
        <f t="shared" si="140"/>
        <v>95487</v>
      </c>
      <c r="U204" s="73" t="s">
        <v>327</v>
      </c>
      <c r="V204" s="117"/>
      <c r="W204" s="74"/>
      <c r="X204" s="75">
        <f t="shared" si="141"/>
        <v>0</v>
      </c>
      <c r="Y204" s="75">
        <f t="shared" si="141"/>
        <v>0</v>
      </c>
      <c r="Z204" s="75">
        <f t="shared" si="141"/>
        <v>0</v>
      </c>
      <c r="AA204" s="75">
        <f t="shared" si="141"/>
        <v>0</v>
      </c>
      <c r="AB204" s="75">
        <f t="shared" si="141"/>
        <v>0</v>
      </c>
      <c r="AC204" s="75">
        <f t="shared" si="141"/>
        <v>0</v>
      </c>
      <c r="AD204" s="75">
        <f t="shared" si="141"/>
        <v>0.35694728943152088</v>
      </c>
      <c r="AE204" s="75">
        <f t="shared" si="136"/>
        <v>1.0140547995213661E-3</v>
      </c>
      <c r="AF204" s="75">
        <f t="shared" si="136"/>
        <v>7.0983835966495631E-4</v>
      </c>
      <c r="AG204" s="75">
        <f t="shared" si="136"/>
        <v>0</v>
      </c>
      <c r="AH204" s="75">
        <f t="shared" si="136"/>
        <v>8.9399071125803642E-2</v>
      </c>
      <c r="AI204" s="75">
        <f t="shared" si="136"/>
        <v>0.36510029001967265</v>
      </c>
      <c r="AJ204" s="75">
        <f t="shared" si="136"/>
        <v>4.0562191980854644E-5</v>
      </c>
      <c r="AK204" s="75">
        <f t="shared" si="136"/>
        <v>0</v>
      </c>
      <c r="AL204" s="75">
        <f t="shared" si="136"/>
        <v>0.76642261747824847</v>
      </c>
      <c r="AM204" s="75">
        <f t="shared" si="126"/>
        <v>1.9365810128379337</v>
      </c>
      <c r="AN204" s="75"/>
      <c r="AO204" s="75"/>
      <c r="AP204" s="76" t="e">
        <f>+VLOOKUP($A204,#REF!,2,FALSE)</f>
        <v>#REF!</v>
      </c>
    </row>
    <row r="205" spans="1:42" s="77" customFormat="1">
      <c r="A205" s="86" t="s">
        <v>117</v>
      </c>
      <c r="B205" s="72">
        <v>59919</v>
      </c>
      <c r="C205" s="92">
        <v>69.510999999999996</v>
      </c>
      <c r="D205" s="92">
        <v>2.2880000000000003</v>
      </c>
      <c r="E205" s="92">
        <v>0</v>
      </c>
      <c r="F205" s="92">
        <v>250</v>
      </c>
      <c r="G205" s="92">
        <v>0</v>
      </c>
      <c r="H205" s="92">
        <f t="shared" si="138"/>
        <v>321.79899999999998</v>
      </c>
      <c r="I205" s="72">
        <v>20131</v>
      </c>
      <c r="J205" s="72">
        <v>23680</v>
      </c>
      <c r="K205" s="72">
        <f t="shared" si="139"/>
        <v>3549</v>
      </c>
      <c r="L205" s="72">
        <v>1500</v>
      </c>
      <c r="M205" s="72">
        <v>270</v>
      </c>
      <c r="N205" s="72">
        <v>0</v>
      </c>
      <c r="O205" s="72">
        <v>17143</v>
      </c>
      <c r="P205" s="72">
        <v>17143</v>
      </c>
      <c r="Q205" s="72">
        <v>180</v>
      </c>
      <c r="R205" s="72">
        <v>20</v>
      </c>
      <c r="S205" s="72">
        <v>28614</v>
      </c>
      <c r="T205" s="72">
        <f t="shared" si="140"/>
        <v>112230</v>
      </c>
      <c r="U205" s="73" t="s">
        <v>327</v>
      </c>
      <c r="V205" s="117"/>
      <c r="W205" s="74"/>
      <c r="X205" s="75">
        <f t="shared" si="141"/>
        <v>1.1600827784175303E-3</v>
      </c>
      <c r="Y205" s="75">
        <f t="shared" si="141"/>
        <v>3.8184882925282466E-5</v>
      </c>
      <c r="Z205" s="75">
        <f t="shared" si="141"/>
        <v>0</v>
      </c>
      <c r="AA205" s="75">
        <f t="shared" si="141"/>
        <v>4.1722992706820878E-3</v>
      </c>
      <c r="AB205" s="75">
        <f t="shared" si="141"/>
        <v>0</v>
      </c>
      <c r="AC205" s="75">
        <f t="shared" si="141"/>
        <v>5.3705669320249002E-3</v>
      </c>
      <c r="AD205" s="75">
        <f t="shared" si="141"/>
        <v>0.33597022647240443</v>
      </c>
      <c r="AE205" s="75">
        <f t="shared" si="136"/>
        <v>2.5033795624092525E-2</v>
      </c>
      <c r="AF205" s="75">
        <f t="shared" si="136"/>
        <v>4.5060832123366545E-3</v>
      </c>
      <c r="AG205" s="75">
        <f t="shared" si="136"/>
        <v>0</v>
      </c>
      <c r="AH205" s="75">
        <f t="shared" si="136"/>
        <v>0.28610290558921209</v>
      </c>
      <c r="AI205" s="75">
        <f t="shared" si="136"/>
        <v>0.28610290558921209</v>
      </c>
      <c r="AJ205" s="75">
        <f t="shared" si="136"/>
        <v>3.0040554748911028E-3</v>
      </c>
      <c r="AK205" s="75">
        <f t="shared" si="136"/>
        <v>3.3378394165456702E-4</v>
      </c>
      <c r="AL205" s="75">
        <f t="shared" si="136"/>
        <v>0.47754468532518901</v>
      </c>
      <c r="AM205" s="75">
        <f t="shared" si="126"/>
        <v>1.8730285885946028</v>
      </c>
      <c r="AN205" s="75"/>
      <c r="AO205" s="75"/>
      <c r="AP205" s="76" t="e">
        <f>+VLOOKUP($A205,#REF!,2,FALSE)</f>
        <v>#REF!</v>
      </c>
    </row>
    <row r="206" spans="1:42" s="77" customFormat="1">
      <c r="A206" s="121" t="s">
        <v>118</v>
      </c>
      <c r="B206" s="72">
        <v>104375</v>
      </c>
      <c r="C206" s="92">
        <v>70</v>
      </c>
      <c r="D206" s="92">
        <v>0</v>
      </c>
      <c r="E206" s="92">
        <v>0</v>
      </c>
      <c r="F206" s="92">
        <v>0</v>
      </c>
      <c r="G206" s="92">
        <v>0</v>
      </c>
      <c r="H206" s="92">
        <f t="shared" si="138"/>
        <v>70</v>
      </c>
      <c r="I206" s="72">
        <v>5304</v>
      </c>
      <c r="J206" s="72">
        <v>5304</v>
      </c>
      <c r="K206" s="72">
        <f t="shared" si="139"/>
        <v>0</v>
      </c>
      <c r="L206" s="72">
        <v>0</v>
      </c>
      <c r="M206" s="72">
        <v>24</v>
      </c>
      <c r="N206" s="72">
        <v>0</v>
      </c>
      <c r="O206" s="72">
        <v>14455</v>
      </c>
      <c r="P206" s="72">
        <v>5724</v>
      </c>
      <c r="Q206" s="72">
        <v>0</v>
      </c>
      <c r="R206" s="72">
        <v>0</v>
      </c>
      <c r="S206" s="72">
        <v>24541</v>
      </c>
      <c r="T206" s="72">
        <f t="shared" si="140"/>
        <v>55352</v>
      </c>
      <c r="U206" s="73" t="s">
        <v>327</v>
      </c>
      <c r="V206" s="116"/>
      <c r="W206" s="74"/>
      <c r="X206" s="75">
        <f t="shared" si="141"/>
        <v>6.7065868263473051E-4</v>
      </c>
      <c r="Y206" s="75">
        <f t="shared" si="141"/>
        <v>0</v>
      </c>
      <c r="Z206" s="75">
        <f t="shared" si="141"/>
        <v>0</v>
      </c>
      <c r="AA206" s="75">
        <f t="shared" si="141"/>
        <v>0</v>
      </c>
      <c r="AB206" s="75">
        <f t="shared" si="141"/>
        <v>0</v>
      </c>
      <c r="AC206" s="75">
        <f t="shared" si="141"/>
        <v>6.7065868263473051E-4</v>
      </c>
      <c r="AD206" s="75">
        <f t="shared" si="141"/>
        <v>5.0816766467065871E-2</v>
      </c>
      <c r="AE206" s="75">
        <f t="shared" si="136"/>
        <v>0</v>
      </c>
      <c r="AF206" s="75">
        <f t="shared" si="136"/>
        <v>2.2994011976047905E-4</v>
      </c>
      <c r="AG206" s="75">
        <f t="shared" si="136"/>
        <v>0</v>
      </c>
      <c r="AH206" s="75">
        <f t="shared" si="136"/>
        <v>0.13849101796407184</v>
      </c>
      <c r="AI206" s="75">
        <f t="shared" si="136"/>
        <v>5.4840718562874251E-2</v>
      </c>
      <c r="AJ206" s="75">
        <f t="shared" si="136"/>
        <v>0</v>
      </c>
      <c r="AK206" s="75">
        <f t="shared" si="136"/>
        <v>0</v>
      </c>
      <c r="AL206" s="75">
        <f t="shared" si="136"/>
        <v>0.23512335329341316</v>
      </c>
      <c r="AM206" s="75">
        <f t="shared" si="126"/>
        <v>0.5303185628742515</v>
      </c>
      <c r="AN206" s="75"/>
      <c r="AO206" s="75"/>
      <c r="AP206" s="76" t="e">
        <f>+VLOOKUP($A206,#REF!,2,FALSE)</f>
        <v>#REF!</v>
      </c>
    </row>
    <row r="207" spans="1:42" s="77" customFormat="1">
      <c r="A207" s="87" t="s">
        <v>183</v>
      </c>
      <c r="B207" s="88">
        <v>385622</v>
      </c>
      <c r="C207" s="95">
        <v>177.92751599999983</v>
      </c>
      <c r="D207" s="95">
        <v>16.561499999999988</v>
      </c>
      <c r="E207" s="95">
        <v>5.4300000000000006</v>
      </c>
      <c r="F207" s="95">
        <v>452.5</v>
      </c>
      <c r="G207" s="95">
        <v>10.860000000000001</v>
      </c>
      <c r="H207" s="92">
        <f t="shared" si="138"/>
        <v>663.27901599999984</v>
      </c>
      <c r="I207" s="88">
        <v>124466</v>
      </c>
      <c r="J207" s="88">
        <v>171930</v>
      </c>
      <c r="K207" s="72">
        <f t="shared" si="139"/>
        <v>47464</v>
      </c>
      <c r="L207" s="88">
        <v>0</v>
      </c>
      <c r="M207" s="88">
        <v>0</v>
      </c>
      <c r="N207" s="88">
        <v>0</v>
      </c>
      <c r="O207" s="88">
        <v>12503</v>
      </c>
      <c r="P207" s="88">
        <v>36398</v>
      </c>
      <c r="Q207" s="88">
        <v>0</v>
      </c>
      <c r="R207" s="88">
        <v>0</v>
      </c>
      <c r="S207" s="88">
        <v>0</v>
      </c>
      <c r="T207" s="72">
        <f t="shared" si="140"/>
        <v>392761</v>
      </c>
      <c r="U207" s="89" t="s">
        <v>327</v>
      </c>
      <c r="V207" s="117"/>
      <c r="W207" s="74"/>
      <c r="X207" s="75">
        <f t="shared" si="141"/>
        <v>4.6140395516853247E-4</v>
      </c>
      <c r="Y207" s="75">
        <f t="shared" si="141"/>
        <v>4.2947497808734949E-5</v>
      </c>
      <c r="Z207" s="75">
        <f t="shared" si="141"/>
        <v>1.408114682253606E-5</v>
      </c>
      <c r="AA207" s="75">
        <f t="shared" si="141"/>
        <v>1.1734289018780048E-3</v>
      </c>
      <c r="AB207" s="75">
        <f t="shared" si="141"/>
        <v>2.8162293645072121E-5</v>
      </c>
      <c r="AC207" s="75">
        <f t="shared" si="141"/>
        <v>1.7200237953228805E-3</v>
      </c>
      <c r="AD207" s="75">
        <f t="shared" si="141"/>
        <v>0.32276685458817184</v>
      </c>
      <c r="AE207" s="75">
        <f t="shared" si="136"/>
        <v>0</v>
      </c>
      <c r="AF207" s="75">
        <f t="shared" si="136"/>
        <v>0</v>
      </c>
      <c r="AG207" s="75">
        <f t="shared" si="136"/>
        <v>0</v>
      </c>
      <c r="AH207" s="75">
        <f t="shared" si="136"/>
        <v>3.2422942674432478E-2</v>
      </c>
      <c r="AI207" s="75">
        <f t="shared" si="136"/>
        <v>9.4387768332719613E-2</v>
      </c>
      <c r="AJ207" s="75">
        <f t="shared" si="136"/>
        <v>0</v>
      </c>
      <c r="AK207" s="75">
        <f t="shared" si="136"/>
        <v>0</v>
      </c>
      <c r="AL207" s="75">
        <f t="shared" si="136"/>
        <v>0</v>
      </c>
      <c r="AM207" s="75">
        <f t="shared" si="126"/>
        <v>1.0185129479127228</v>
      </c>
      <c r="AN207" s="75"/>
      <c r="AO207" s="75"/>
      <c r="AP207" s="76" t="e">
        <f>+VLOOKUP($A207,#REF!,2,FALSE)</f>
        <v>#REF!</v>
      </c>
    </row>
    <row r="208" spans="1:42" s="77" customFormat="1">
      <c r="A208" s="80" t="s">
        <v>9</v>
      </c>
      <c r="B208" s="90">
        <f>SUM(B202:B207)</f>
        <v>606668</v>
      </c>
      <c r="C208" s="93">
        <f t="shared" ref="C208:T208" si="142">SUM(C202:C207)</f>
        <v>318.98611599999981</v>
      </c>
      <c r="D208" s="93">
        <f t="shared" si="142"/>
        <v>18.872299999999989</v>
      </c>
      <c r="E208" s="93">
        <f t="shared" si="142"/>
        <v>5.4300000000000006</v>
      </c>
      <c r="F208" s="93">
        <f t="shared" si="142"/>
        <v>702.5</v>
      </c>
      <c r="G208" s="93">
        <f t="shared" si="142"/>
        <v>10.860000000000001</v>
      </c>
      <c r="H208" s="93">
        <f t="shared" si="142"/>
        <v>1056.6484159999998</v>
      </c>
      <c r="I208" s="90">
        <f t="shared" si="142"/>
        <v>167771</v>
      </c>
      <c r="J208" s="90">
        <f t="shared" si="142"/>
        <v>223479</v>
      </c>
      <c r="K208" s="90">
        <f t="shared" si="142"/>
        <v>55708</v>
      </c>
      <c r="L208" s="90">
        <f t="shared" si="142"/>
        <v>1850</v>
      </c>
      <c r="M208" s="90">
        <f t="shared" si="142"/>
        <v>629</v>
      </c>
      <c r="N208" s="90">
        <f t="shared" si="142"/>
        <v>0</v>
      </c>
      <c r="O208" s="90">
        <f t="shared" si="142"/>
        <v>48509</v>
      </c>
      <c r="P208" s="90">
        <f t="shared" si="142"/>
        <v>77267</v>
      </c>
      <c r="Q208" s="90">
        <f t="shared" si="142"/>
        <v>182</v>
      </c>
      <c r="R208" s="90">
        <f t="shared" si="142"/>
        <v>20</v>
      </c>
      <c r="S208" s="90">
        <f t="shared" si="142"/>
        <v>90945</v>
      </c>
      <c r="T208" s="90">
        <f t="shared" si="142"/>
        <v>666360</v>
      </c>
      <c r="U208" s="80"/>
      <c r="V208" s="117"/>
      <c r="W208" s="74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6"/>
    </row>
    <row r="209" spans="1:21" s="65" customFormat="1" ht="22.5" thickBot="1">
      <c r="A209" s="96" t="s">
        <v>23</v>
      </c>
      <c r="B209" s="97">
        <f>SUM(B208,B200,B192,B182,B174,B157,B138,B124,B108,B92,B78,B68,B55,B43,B34,B22,B13)</f>
        <v>23801915.030094866</v>
      </c>
      <c r="C209" s="97">
        <f t="shared" ref="C209:T209" si="143">SUM(C208,C200,C192,C182,C174,C157,C138,C124,C108,C92,C78,C68,C55,C43,C34,C22,C13)</f>
        <v>21698.341313356832</v>
      </c>
      <c r="D209" s="97">
        <f t="shared" si="143"/>
        <v>1805.6730414472786</v>
      </c>
      <c r="E209" s="97">
        <f t="shared" si="143"/>
        <v>385.87051693150693</v>
      </c>
      <c r="F209" s="97">
        <f t="shared" si="143"/>
        <v>2585.4806367273977</v>
      </c>
      <c r="G209" s="97">
        <f t="shared" si="143"/>
        <v>1652.4260804729079</v>
      </c>
      <c r="H209" s="97">
        <f t="shared" si="143"/>
        <v>28127.791588935921</v>
      </c>
      <c r="I209" s="97">
        <f t="shared" si="143"/>
        <v>15375495.4</v>
      </c>
      <c r="J209" s="97">
        <f t="shared" si="143"/>
        <v>15933639.930094864</v>
      </c>
      <c r="K209" s="97">
        <f t="shared" si="143"/>
        <v>558144.53009486489</v>
      </c>
      <c r="L209" s="97">
        <f t="shared" si="143"/>
        <v>276644</v>
      </c>
      <c r="M209" s="97">
        <f t="shared" si="143"/>
        <v>185612</v>
      </c>
      <c r="N209" s="97">
        <f t="shared" si="143"/>
        <v>872508</v>
      </c>
      <c r="O209" s="97">
        <f t="shared" si="143"/>
        <v>1167497</v>
      </c>
      <c r="P209" s="97">
        <f t="shared" si="143"/>
        <v>1205789.6000000001</v>
      </c>
      <c r="Q209" s="97">
        <f t="shared" si="143"/>
        <v>482484</v>
      </c>
      <c r="R209" s="97">
        <f t="shared" si="143"/>
        <v>300973</v>
      </c>
      <c r="S209" s="97">
        <f t="shared" si="143"/>
        <v>540661.13</v>
      </c>
      <c r="T209" s="97">
        <f t="shared" si="143"/>
        <v>36899448.590189733</v>
      </c>
      <c r="U209" s="98"/>
    </row>
    <row r="210" spans="1:21" s="3" customFormat="1" ht="22.5" thickTop="1">
      <c r="A210" s="66"/>
      <c r="B210" s="6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</row>
    <row r="211" spans="1:21" s="3" customFormat="1">
      <c r="A211" s="66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</row>
  </sheetData>
  <mergeCells count="19">
    <mergeCell ref="N4:N5"/>
    <mergeCell ref="O4:O5"/>
    <mergeCell ref="P4:P5"/>
    <mergeCell ref="Q4:Q5"/>
    <mergeCell ref="R4:R5"/>
    <mergeCell ref="S4:S5"/>
    <mergeCell ref="A1:U1"/>
    <mergeCell ref="C3:H3"/>
    <mergeCell ref="I3:T3"/>
    <mergeCell ref="U3:U5"/>
    <mergeCell ref="C4:C5"/>
    <mergeCell ref="G4:G5"/>
    <mergeCell ref="H4:H5"/>
    <mergeCell ref="I4:I5"/>
    <mergeCell ref="L4:L5"/>
    <mergeCell ref="M4:M5"/>
    <mergeCell ref="T4:T5"/>
    <mergeCell ref="J4:J5"/>
    <mergeCell ref="K4:K5"/>
  </mergeCells>
  <conditionalFormatting sqref="K7:K12">
    <cfRule type="cellIs" dxfId="18" priority="17" stopIfTrue="1" operator="greaterThan">
      <formula>0</formula>
    </cfRule>
  </conditionalFormatting>
  <conditionalFormatting sqref="K15:K21">
    <cfRule type="cellIs" dxfId="17" priority="16" stopIfTrue="1" operator="greaterThan">
      <formula>0</formula>
    </cfRule>
  </conditionalFormatting>
  <conditionalFormatting sqref="K24:K33">
    <cfRule type="cellIs" dxfId="16" priority="15" stopIfTrue="1" operator="greaterThan">
      <formula>0</formula>
    </cfRule>
  </conditionalFormatting>
  <conditionalFormatting sqref="K36:K42">
    <cfRule type="cellIs" dxfId="15" priority="14" stopIfTrue="1" operator="greaterThan">
      <formula>0</formula>
    </cfRule>
  </conditionalFormatting>
  <conditionalFormatting sqref="K45:K54">
    <cfRule type="cellIs" dxfId="14" priority="13" stopIfTrue="1" operator="greaterThan">
      <formula>0</formula>
    </cfRule>
  </conditionalFormatting>
  <conditionalFormatting sqref="K57:K67">
    <cfRule type="cellIs" dxfId="13" priority="12" stopIfTrue="1" operator="greaterThan">
      <formula>0</formula>
    </cfRule>
  </conditionalFormatting>
  <conditionalFormatting sqref="K70:K77">
    <cfRule type="cellIs" dxfId="12" priority="11" stopIfTrue="1" operator="greaterThan">
      <formula>0</formula>
    </cfRule>
  </conditionalFormatting>
  <conditionalFormatting sqref="K80:K91">
    <cfRule type="cellIs" dxfId="11" priority="10" stopIfTrue="1" operator="greaterThan">
      <formula>0</formula>
    </cfRule>
  </conditionalFormatting>
  <conditionalFormatting sqref="K94:K107">
    <cfRule type="cellIs" dxfId="10" priority="9" stopIfTrue="1" operator="greaterThan">
      <formula>0</formula>
    </cfRule>
  </conditionalFormatting>
  <conditionalFormatting sqref="K110:K123">
    <cfRule type="cellIs" dxfId="9" priority="8" stopIfTrue="1" operator="greaterThan">
      <formula>0</formula>
    </cfRule>
  </conditionalFormatting>
  <conditionalFormatting sqref="K126:K137">
    <cfRule type="cellIs" dxfId="8" priority="7" stopIfTrue="1" operator="greaterThan">
      <formula>0</formula>
    </cfRule>
  </conditionalFormatting>
  <conditionalFormatting sqref="K140:K156">
    <cfRule type="cellIs" dxfId="7" priority="6" stopIfTrue="1" operator="greaterThan">
      <formula>0</formula>
    </cfRule>
  </conditionalFormatting>
  <conditionalFormatting sqref="K159:K173">
    <cfRule type="cellIs" dxfId="6" priority="5" stopIfTrue="1" operator="greaterThan">
      <formula>0</formula>
    </cfRule>
  </conditionalFormatting>
  <conditionalFormatting sqref="K176:K181">
    <cfRule type="cellIs" dxfId="5" priority="4" stopIfTrue="1" operator="greaterThan">
      <formula>0</formula>
    </cfRule>
  </conditionalFormatting>
  <conditionalFormatting sqref="K184:K191">
    <cfRule type="cellIs" dxfId="4" priority="3" stopIfTrue="1" operator="greaterThan">
      <formula>0</formula>
    </cfRule>
  </conditionalFormatting>
  <conditionalFormatting sqref="K194:K199">
    <cfRule type="cellIs" dxfId="3" priority="2" stopIfTrue="1" operator="greaterThan">
      <formula>0</formula>
    </cfRule>
  </conditionalFormatting>
  <conditionalFormatting sqref="K202:K207">
    <cfRule type="cellIs" dxfId="2" priority="1" stopIfTrue="1" operator="greaterThan">
      <formula>0</formula>
    </cfRule>
  </conditionalFormatting>
  <printOptions horizontalCentered="1"/>
  <pageMargins left="0.70866141732283461" right="0.70866141732283461" top="0.74803149606299213" bottom="0.74803149606299213" header="0.31496062992125984" footer="0.31496062992125984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9"/>
  <sheetViews>
    <sheetView view="pageBreakPreview" topLeftCell="A3" zoomScale="90" zoomScaleNormal="80" zoomScaleSheetLayoutView="90" workbookViewId="0">
      <pane xSplit="2" ySplit="3" topLeftCell="F49" activePane="bottomRight" state="frozen"/>
      <selection activeCell="A3" sqref="A3"/>
      <selection pane="topRight" activeCell="C3" sqref="C3"/>
      <selection pane="bottomLeft" activeCell="A6" sqref="A6"/>
      <selection pane="bottomRight" activeCell="J53" sqref="J53"/>
    </sheetView>
  </sheetViews>
  <sheetFormatPr defaultColWidth="9.140625" defaultRowHeight="24"/>
  <cols>
    <col min="1" max="1" width="6.140625" style="125" customWidth="1"/>
    <col min="2" max="2" width="24.5703125" style="126" customWidth="1"/>
    <col min="3" max="3" width="14" style="126" bestFit="1" customWidth="1"/>
    <col min="4" max="4" width="11.28515625" style="126" bestFit="1" customWidth="1"/>
    <col min="5" max="5" width="14.42578125" style="126" bestFit="1" customWidth="1"/>
    <col min="6" max="6" width="12.140625" style="126" bestFit="1" customWidth="1"/>
    <col min="7" max="7" width="10.85546875" style="126" bestFit="1" customWidth="1"/>
    <col min="8" max="8" width="9" style="126" bestFit="1" customWidth="1"/>
    <col min="9" max="9" width="11.28515625" style="126" bestFit="1" customWidth="1"/>
    <col min="10" max="10" width="12.5703125" style="127" bestFit="1" customWidth="1"/>
    <col min="11" max="11" width="9.42578125" style="127" bestFit="1" customWidth="1"/>
    <col min="12" max="13" width="9.85546875" style="127" bestFit="1" customWidth="1"/>
    <col min="14" max="15" width="11.28515625" style="127" bestFit="1" customWidth="1"/>
    <col min="16" max="18" width="9.42578125" style="127" bestFit="1" customWidth="1"/>
    <col min="19" max="19" width="12.5703125" style="127" bestFit="1" customWidth="1"/>
    <col min="20" max="20" width="44.7109375" style="128" customWidth="1"/>
    <col min="21" max="32" width="9.140625" style="129"/>
    <col min="33" max="16384" width="9.140625" style="126"/>
  </cols>
  <sheetData>
    <row r="1" spans="1:32" hidden="1">
      <c r="D1" s="126">
        <v>19</v>
      </c>
      <c r="E1" s="126">
        <v>20</v>
      </c>
      <c r="F1" s="126">
        <v>21</v>
      </c>
      <c r="G1" s="126">
        <v>22</v>
      </c>
      <c r="H1" s="126">
        <v>23</v>
      </c>
      <c r="I1" s="126">
        <v>24</v>
      </c>
      <c r="J1" s="127">
        <v>25</v>
      </c>
      <c r="K1" s="127">
        <v>26</v>
      </c>
      <c r="L1" s="127">
        <v>27</v>
      </c>
      <c r="M1" s="127">
        <v>28</v>
      </c>
      <c r="N1" s="127">
        <v>29</v>
      </c>
      <c r="O1" s="127">
        <v>30</v>
      </c>
      <c r="P1" s="127">
        <v>31</v>
      </c>
      <c r="Q1" s="127">
        <v>32</v>
      </c>
      <c r="R1" s="127">
        <v>33</v>
      </c>
    </row>
    <row r="2" spans="1:32" hidden="1"/>
    <row r="3" spans="1:32" s="190" customFormat="1">
      <c r="A3" s="275" t="s">
        <v>323</v>
      </c>
      <c r="B3" s="275" t="s">
        <v>361</v>
      </c>
      <c r="C3" s="278" t="s">
        <v>3</v>
      </c>
      <c r="D3" s="281" t="s">
        <v>324</v>
      </c>
      <c r="E3" s="282"/>
      <c r="F3" s="282"/>
      <c r="G3" s="282"/>
      <c r="H3" s="282"/>
      <c r="I3" s="283"/>
      <c r="J3" s="284" t="s">
        <v>0</v>
      </c>
      <c r="K3" s="285"/>
      <c r="L3" s="285"/>
      <c r="M3" s="285"/>
      <c r="N3" s="285"/>
      <c r="O3" s="285"/>
      <c r="P3" s="285"/>
      <c r="Q3" s="285"/>
      <c r="R3" s="285"/>
      <c r="S3" s="286"/>
      <c r="T3" s="270" t="s">
        <v>332</v>
      </c>
      <c r="U3" s="188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</row>
    <row r="4" spans="1:32" s="192" customFormat="1" ht="19.5" customHeight="1">
      <c r="A4" s="276"/>
      <c r="B4" s="276"/>
      <c r="C4" s="279"/>
      <c r="D4" s="268" t="s">
        <v>4</v>
      </c>
      <c r="E4" s="289" t="s">
        <v>318</v>
      </c>
      <c r="F4" s="268" t="s">
        <v>319</v>
      </c>
      <c r="G4" s="268" t="s">
        <v>317</v>
      </c>
      <c r="H4" s="268" t="s">
        <v>8</v>
      </c>
      <c r="I4" s="268" t="s">
        <v>9</v>
      </c>
      <c r="J4" s="287" t="s">
        <v>10</v>
      </c>
      <c r="K4" s="273" t="s">
        <v>11</v>
      </c>
      <c r="L4" s="273" t="s">
        <v>12</v>
      </c>
      <c r="M4" s="273" t="s">
        <v>13</v>
      </c>
      <c r="N4" s="273" t="s">
        <v>14</v>
      </c>
      <c r="O4" s="273" t="s">
        <v>15</v>
      </c>
      <c r="P4" s="273" t="s">
        <v>16</v>
      </c>
      <c r="Q4" s="273" t="s">
        <v>17</v>
      </c>
      <c r="R4" s="273" t="s">
        <v>8</v>
      </c>
      <c r="S4" s="273" t="s">
        <v>9</v>
      </c>
      <c r="T4" s="271"/>
      <c r="U4" s="191"/>
    </row>
    <row r="5" spans="1:32" s="192" customFormat="1" ht="12.75" customHeight="1">
      <c r="A5" s="277"/>
      <c r="B5" s="277"/>
      <c r="C5" s="280"/>
      <c r="D5" s="269"/>
      <c r="E5" s="290"/>
      <c r="F5" s="269"/>
      <c r="G5" s="269"/>
      <c r="H5" s="269"/>
      <c r="I5" s="269"/>
      <c r="J5" s="288"/>
      <c r="K5" s="274"/>
      <c r="L5" s="274"/>
      <c r="M5" s="274"/>
      <c r="N5" s="274"/>
      <c r="O5" s="274"/>
      <c r="P5" s="274"/>
      <c r="Q5" s="274"/>
      <c r="R5" s="274"/>
      <c r="S5" s="274"/>
      <c r="T5" s="272"/>
      <c r="U5" s="191"/>
    </row>
    <row r="6" spans="1:32" s="137" customFormat="1">
      <c r="A6" s="132"/>
      <c r="B6" s="197" t="s">
        <v>335</v>
      </c>
      <c r="C6" s="133">
        <v>548879</v>
      </c>
      <c r="D6" s="134">
        <v>379.39027996400785</v>
      </c>
      <c r="E6" s="134">
        <v>26.95287535483871</v>
      </c>
      <c r="F6" s="134">
        <v>0.45600000000000018</v>
      </c>
      <c r="G6" s="134">
        <v>19.604000000000003</v>
      </c>
      <c r="H6" s="134">
        <v>78.672322853823474</v>
      </c>
      <c r="I6" s="134">
        <v>504.67525616140642</v>
      </c>
      <c r="J6" s="133">
        <f>SUM(J7:J9)</f>
        <v>305005.99999999994</v>
      </c>
      <c r="K6" s="133">
        <f t="shared" ref="K6:R6" si="0">SUM(K7:K9)</f>
        <v>19567</v>
      </c>
      <c r="L6" s="133">
        <f t="shared" si="0"/>
        <v>12997</v>
      </c>
      <c r="M6" s="133">
        <f t="shared" si="0"/>
        <v>0</v>
      </c>
      <c r="N6" s="133">
        <f t="shared" si="0"/>
        <v>170053</v>
      </c>
      <c r="O6" s="133">
        <f t="shared" si="0"/>
        <v>2648</v>
      </c>
      <c r="P6" s="133">
        <f t="shared" si="0"/>
        <v>4888</v>
      </c>
      <c r="Q6" s="133">
        <f t="shared" si="0"/>
        <v>0</v>
      </c>
      <c r="R6" s="133">
        <f t="shared" si="0"/>
        <v>107</v>
      </c>
      <c r="S6" s="133">
        <f>SUM(J6:R6)</f>
        <v>515265.99999999994</v>
      </c>
      <c r="T6" s="135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2">
      <c r="A7" s="138">
        <v>1</v>
      </c>
      <c r="B7" s="199" t="s">
        <v>177</v>
      </c>
      <c r="C7" s="140">
        <v>15818.336082798451</v>
      </c>
      <c r="D7" s="141">
        <v>11.32246918912203</v>
      </c>
      <c r="E7" s="141">
        <v>0.77676435199855387</v>
      </c>
      <c r="F7" s="141">
        <v>1.3141623661601367E-2</v>
      </c>
      <c r="G7" s="141">
        <v>0.56497454004831826</v>
      </c>
      <c r="H7" s="141">
        <v>2.2672852182652372</v>
      </c>
      <c r="I7" s="141">
        <v>14.544412911832163</v>
      </c>
      <c r="J7" s="140">
        <v>7164</v>
      </c>
      <c r="K7" s="140">
        <v>563.90822409331986</v>
      </c>
      <c r="L7" s="140">
        <v>374.56509370577385</v>
      </c>
      <c r="M7" s="140">
        <v>0</v>
      </c>
      <c r="N7" s="140">
        <v>4900.8169485225799</v>
      </c>
      <c r="O7" s="140">
        <v>76.313639157720189</v>
      </c>
      <c r="P7" s="140">
        <v>140.86898346032336</v>
      </c>
      <c r="Q7" s="140">
        <v>0</v>
      </c>
      <c r="R7" s="140">
        <v>3.0836704644547055</v>
      </c>
      <c r="S7" s="140">
        <f>SUM(J7:R7)</f>
        <v>13223.556559404173</v>
      </c>
      <c r="T7" s="142" t="s">
        <v>330</v>
      </c>
    </row>
    <row r="8" spans="1:32">
      <c r="A8" s="138">
        <v>2</v>
      </c>
      <c r="B8" s="199" t="s">
        <v>73</v>
      </c>
      <c r="C8" s="140">
        <v>409126.82541134761</v>
      </c>
      <c r="D8" s="141">
        <v>282.49395453764657</v>
      </c>
      <c r="E8" s="141">
        <v>20.090301012851487</v>
      </c>
      <c r="F8" s="141">
        <v>0.33989610166826312</v>
      </c>
      <c r="G8" s="141">
        <v>14.612550826983835</v>
      </c>
      <c r="H8" s="141">
        <v>58.641262822810511</v>
      </c>
      <c r="I8" s="141">
        <v>376.17796530196063</v>
      </c>
      <c r="J8" s="140">
        <v>228144.56736044667</v>
      </c>
      <c r="K8" s="140">
        <v>14584.97153803268</v>
      </c>
      <c r="L8" s="140">
        <v>9687.7842837333628</v>
      </c>
      <c r="M8" s="140">
        <v>0</v>
      </c>
      <c r="N8" s="140">
        <v>126755.15740568668</v>
      </c>
      <c r="O8" s="140">
        <v>1973.7826254771062</v>
      </c>
      <c r="P8" s="140">
        <v>3643.4476863036612</v>
      </c>
      <c r="Q8" s="140">
        <v>0</v>
      </c>
      <c r="R8" s="140">
        <v>79.756322101982761</v>
      </c>
      <c r="S8" s="140">
        <f>SUM(J8:R8)</f>
        <v>384869.46722178214</v>
      </c>
      <c r="T8" s="142" t="s">
        <v>330</v>
      </c>
    </row>
    <row r="9" spans="1:32">
      <c r="A9" s="138">
        <v>3</v>
      </c>
      <c r="B9" s="199" t="s">
        <v>207</v>
      </c>
      <c r="C9" s="140">
        <v>123933.83850585393</v>
      </c>
      <c r="D9" s="141">
        <v>85.573856237239227</v>
      </c>
      <c r="E9" s="141">
        <v>6.08580998998867</v>
      </c>
      <c r="F9" s="141">
        <v>0.1029622746701357</v>
      </c>
      <c r="G9" s="141">
        <v>4.4264746329678504</v>
      </c>
      <c r="H9" s="141">
        <v>17.763774812747727</v>
      </c>
      <c r="I9" s="141">
        <v>113.9528779476136</v>
      </c>
      <c r="J9" s="140">
        <v>69697.43263955327</v>
      </c>
      <c r="K9" s="140">
        <v>4418.1202378740008</v>
      </c>
      <c r="L9" s="140">
        <v>2934.6506225608623</v>
      </c>
      <c r="M9" s="140">
        <v>0</v>
      </c>
      <c r="N9" s="140">
        <v>38397.025645790745</v>
      </c>
      <c r="O9" s="140">
        <v>597.90373536517382</v>
      </c>
      <c r="P9" s="140">
        <v>1103.6833302360158</v>
      </c>
      <c r="Q9" s="140">
        <v>0</v>
      </c>
      <c r="R9" s="140">
        <v>24.160007433562534</v>
      </c>
      <c r="S9" s="140">
        <f>SUM(J9:R9)</f>
        <v>117172.97621881362</v>
      </c>
      <c r="T9" s="142" t="s">
        <v>330</v>
      </c>
    </row>
    <row r="10" spans="1:32" ht="9.75" customHeight="1">
      <c r="A10" s="138"/>
      <c r="B10" s="139"/>
      <c r="C10" s="143"/>
      <c r="D10" s="141"/>
      <c r="E10" s="141"/>
      <c r="F10" s="141"/>
      <c r="G10" s="141"/>
      <c r="H10" s="141"/>
      <c r="I10" s="141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2"/>
    </row>
    <row r="11" spans="1:32" s="137" customFormat="1">
      <c r="A11" s="144"/>
      <c r="B11" s="198" t="s">
        <v>336</v>
      </c>
      <c r="C11" s="145">
        <v>635915.62009486486</v>
      </c>
      <c r="D11" s="146">
        <v>759.5619999999999</v>
      </c>
      <c r="E11" s="146">
        <v>34.875999999999991</v>
      </c>
      <c r="F11" s="146">
        <v>1.8199999999999998</v>
      </c>
      <c r="G11" s="146">
        <v>36.51</v>
      </c>
      <c r="H11" s="146">
        <v>108.316</v>
      </c>
      <c r="I11" s="146">
        <v>941.08399999999983</v>
      </c>
      <c r="J11" s="145">
        <f>SUM(J12:J15)</f>
        <v>617551</v>
      </c>
      <c r="K11" s="145">
        <f t="shared" ref="K11:Q11" si="1">SUM(K12:K15)</f>
        <v>4460</v>
      </c>
      <c r="L11" s="145">
        <f t="shared" si="1"/>
        <v>0</v>
      </c>
      <c r="M11" s="145">
        <f t="shared" si="1"/>
        <v>0</v>
      </c>
      <c r="N11" s="145">
        <f t="shared" si="1"/>
        <v>6410.9999999999991</v>
      </c>
      <c r="O11" s="145">
        <f t="shared" si="1"/>
        <v>0</v>
      </c>
      <c r="P11" s="145">
        <f t="shared" si="1"/>
        <v>3508</v>
      </c>
      <c r="Q11" s="145">
        <f t="shared" si="1"/>
        <v>0</v>
      </c>
      <c r="R11" s="145">
        <f>SUM(R12:R15)</f>
        <v>0</v>
      </c>
      <c r="S11" s="145">
        <f>SUM(J11:R11)</f>
        <v>631930</v>
      </c>
      <c r="T11" s="142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</row>
    <row r="12" spans="1:32" s="153" customFormat="1">
      <c r="A12" s="147">
        <v>4</v>
      </c>
      <c r="B12" s="148" t="s">
        <v>70</v>
      </c>
      <c r="C12" s="149">
        <v>281042.44720733381</v>
      </c>
      <c r="D12" s="150">
        <v>335.68787515213393</v>
      </c>
      <c r="E12" s="150">
        <v>15.41342291189636</v>
      </c>
      <c r="F12" s="150">
        <v>0.80434768034325554</v>
      </c>
      <c r="G12" s="150">
        <v>16.135568027105634</v>
      </c>
      <c r="H12" s="150">
        <v>47.870177661571461</v>
      </c>
      <c r="I12" s="150">
        <v>415.91139143305065</v>
      </c>
      <c r="J12" s="149">
        <v>339879.89789781504</v>
      </c>
      <c r="K12" s="149">
        <v>1971.0937661158898</v>
      </c>
      <c r="L12" s="149">
        <v>0</v>
      </c>
      <c r="M12" s="149">
        <v>0</v>
      </c>
      <c r="N12" s="149">
        <v>2833.336801472863</v>
      </c>
      <c r="O12" s="149">
        <v>0</v>
      </c>
      <c r="P12" s="149">
        <v>1550.3580563978792</v>
      </c>
      <c r="Q12" s="149">
        <v>0</v>
      </c>
      <c r="R12" s="149">
        <v>0</v>
      </c>
      <c r="S12" s="140">
        <f>SUM(J12:R12)</f>
        <v>346234.68652180169</v>
      </c>
      <c r="T12" s="151" t="s">
        <v>330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</row>
    <row r="13" spans="1:32" s="153" customFormat="1">
      <c r="A13" s="147">
        <v>5</v>
      </c>
      <c r="B13" s="148" t="s">
        <v>145</v>
      </c>
      <c r="C13" s="149">
        <v>89918.989461373843</v>
      </c>
      <c r="D13" s="150">
        <v>107.40268883955277</v>
      </c>
      <c r="E13" s="150">
        <v>4.9314949615281467</v>
      </c>
      <c r="F13" s="150">
        <v>0.25734949048002148</v>
      </c>
      <c r="G13" s="150">
        <v>5.162543899684386</v>
      </c>
      <c r="H13" s="150">
        <v>15.315971104853848</v>
      </c>
      <c r="I13" s="150">
        <v>133.07004829609917</v>
      </c>
      <c r="J13" s="149">
        <v>103566.10210218493</v>
      </c>
      <c r="K13" s="149">
        <v>630.64765249499771</v>
      </c>
      <c r="L13" s="149">
        <v>0</v>
      </c>
      <c r="M13" s="149">
        <v>0</v>
      </c>
      <c r="N13" s="149">
        <v>906.52065025682282</v>
      </c>
      <c r="O13" s="149">
        <v>0</v>
      </c>
      <c r="P13" s="149">
        <v>496.03407285929404</v>
      </c>
      <c r="Q13" s="149">
        <v>0</v>
      </c>
      <c r="R13" s="149">
        <v>0</v>
      </c>
      <c r="S13" s="140">
        <f>SUM(J13:R13)</f>
        <v>105599.30447779605</v>
      </c>
      <c r="T13" s="151" t="s">
        <v>330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</row>
    <row r="14" spans="1:32" s="153" customFormat="1">
      <c r="A14" s="147">
        <v>6</v>
      </c>
      <c r="B14" s="148" t="s">
        <v>119</v>
      </c>
      <c r="C14" s="149">
        <v>57472.72542732898</v>
      </c>
      <c r="D14" s="150">
        <v>68.64762696742784</v>
      </c>
      <c r="E14" s="150">
        <v>3.1520200301173746</v>
      </c>
      <c r="F14" s="150">
        <v>0.16448779833735586</v>
      </c>
      <c r="G14" s="150">
        <v>3.2996975369762978</v>
      </c>
      <c r="H14" s="150">
        <v>9.7893738267632067</v>
      </c>
      <c r="I14" s="150">
        <v>85.053206159622079</v>
      </c>
      <c r="J14" s="149">
        <v>44882</v>
      </c>
      <c r="K14" s="149">
        <v>403.08548383769624</v>
      </c>
      <c r="L14" s="149">
        <v>0</v>
      </c>
      <c r="M14" s="149">
        <v>0</v>
      </c>
      <c r="N14" s="149">
        <v>579.41278853889469</v>
      </c>
      <c r="O14" s="149">
        <v>0</v>
      </c>
      <c r="P14" s="149">
        <v>317.04571239969465</v>
      </c>
      <c r="Q14" s="149">
        <v>0</v>
      </c>
      <c r="R14" s="149">
        <v>0</v>
      </c>
      <c r="S14" s="140">
        <f>SUM(J14:R14)</f>
        <v>46181.54398477629</v>
      </c>
      <c r="T14" s="151" t="s">
        <v>330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</row>
    <row r="15" spans="1:32" s="153" customFormat="1">
      <c r="A15" s="147">
        <v>7</v>
      </c>
      <c r="B15" s="148" t="s">
        <v>202</v>
      </c>
      <c r="C15" s="149">
        <v>207481.45799882832</v>
      </c>
      <c r="D15" s="150">
        <v>247.82380904088535</v>
      </c>
      <c r="E15" s="150">
        <v>11.379062096458114</v>
      </c>
      <c r="F15" s="150">
        <v>0.59381503083936715</v>
      </c>
      <c r="G15" s="150">
        <v>11.912190536233679</v>
      </c>
      <c r="H15" s="150">
        <v>35.34047740681148</v>
      </c>
      <c r="I15" s="150">
        <v>307.04935411122801</v>
      </c>
      <c r="J15" s="149">
        <v>129223</v>
      </c>
      <c r="K15" s="149">
        <v>1455.1730975514163</v>
      </c>
      <c r="L15" s="149">
        <v>0</v>
      </c>
      <c r="M15" s="149">
        <v>0</v>
      </c>
      <c r="N15" s="149">
        <v>2091.7297597314191</v>
      </c>
      <c r="O15" s="149">
        <v>0</v>
      </c>
      <c r="P15" s="149">
        <v>1144.5621583431318</v>
      </c>
      <c r="Q15" s="149">
        <v>0</v>
      </c>
      <c r="R15" s="149">
        <v>0</v>
      </c>
      <c r="S15" s="140">
        <f>SUM(J15:R15)</f>
        <v>133914.46501562596</v>
      </c>
      <c r="T15" s="151" t="s">
        <v>330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</row>
    <row r="16" spans="1:32" s="153" customFormat="1" ht="9.75" customHeight="1">
      <c r="A16" s="147"/>
      <c r="B16" s="148"/>
      <c r="C16" s="154"/>
      <c r="D16" s="150"/>
      <c r="E16" s="150"/>
      <c r="F16" s="150"/>
      <c r="G16" s="150"/>
      <c r="H16" s="150"/>
      <c r="I16" s="150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1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</row>
    <row r="17" spans="1:32" s="160" customFormat="1">
      <c r="A17" s="155"/>
      <c r="B17" s="196" t="s">
        <v>337</v>
      </c>
      <c r="C17" s="157">
        <v>1705782</v>
      </c>
      <c r="D17" s="158">
        <v>1467.3517906249422</v>
      </c>
      <c r="E17" s="158">
        <v>5.3369081073516131</v>
      </c>
      <c r="F17" s="158">
        <v>7.5474015374706729E-2</v>
      </c>
      <c r="G17" s="158">
        <v>8.2062642147489235</v>
      </c>
      <c r="H17" s="158">
        <v>255.46856303758275</v>
      </c>
      <c r="I17" s="158">
        <v>1736.4389999999999</v>
      </c>
      <c r="J17" s="145">
        <f t="shared" ref="J17:R17" si="2">SUM(J18:J21)</f>
        <v>1611066.223674655</v>
      </c>
      <c r="K17" s="145">
        <f t="shared" si="2"/>
        <v>7336.0000000000009</v>
      </c>
      <c r="L17" s="145">
        <f t="shared" si="2"/>
        <v>13</v>
      </c>
      <c r="M17" s="145">
        <f t="shared" si="2"/>
        <v>9244</v>
      </c>
      <c r="N17" s="145">
        <f t="shared" si="2"/>
        <v>5669</v>
      </c>
      <c r="O17" s="145">
        <f t="shared" si="2"/>
        <v>1038.5999999999999</v>
      </c>
      <c r="P17" s="145">
        <f t="shared" si="2"/>
        <v>920</v>
      </c>
      <c r="Q17" s="145">
        <f t="shared" si="2"/>
        <v>0</v>
      </c>
      <c r="R17" s="145">
        <f t="shared" si="2"/>
        <v>65.13</v>
      </c>
      <c r="S17" s="145">
        <f>SUM(J17:R17)</f>
        <v>1635351.9536746549</v>
      </c>
      <c r="T17" s="151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1:32" s="153" customFormat="1">
      <c r="A18" s="147">
        <v>8</v>
      </c>
      <c r="B18" s="148" t="s">
        <v>266</v>
      </c>
      <c r="C18" s="149">
        <v>90149.24032165781</v>
      </c>
      <c r="D18" s="150">
        <v>77.548390831573329</v>
      </c>
      <c r="E18" s="150">
        <v>0.28205140606727264</v>
      </c>
      <c r="F18" s="150">
        <v>3.9887424946768888E-3</v>
      </c>
      <c r="G18" s="150">
        <v>0.43369462500977335</v>
      </c>
      <c r="H18" s="150">
        <v>13.501313112639032</v>
      </c>
      <c r="I18" s="150">
        <v>91.76943871778407</v>
      </c>
      <c r="J18" s="149">
        <v>112401.07625272332</v>
      </c>
      <c r="K18" s="149">
        <v>387.70184408071003</v>
      </c>
      <c r="L18" s="149">
        <v>0.68703980003397358</v>
      </c>
      <c r="M18" s="149">
        <v>488.53814703954242</v>
      </c>
      <c r="N18" s="149">
        <v>299.60220203019969</v>
      </c>
      <c r="O18" s="149">
        <v>54.889195101175758</v>
      </c>
      <c r="P18" s="149">
        <v>48.621278156250433</v>
      </c>
      <c r="Q18" s="149">
        <v>0</v>
      </c>
      <c r="R18" s="149">
        <v>3.4420693981702075</v>
      </c>
      <c r="S18" s="140">
        <f>SUM(J18:R18)</f>
        <v>113684.5580283294</v>
      </c>
      <c r="T18" s="151" t="s">
        <v>357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</row>
    <row r="19" spans="1:32" s="153" customFormat="1" ht="48">
      <c r="A19" s="147">
        <v>9</v>
      </c>
      <c r="B19" s="148" t="s">
        <v>156</v>
      </c>
      <c r="C19" s="149">
        <v>532740.3772102017</v>
      </c>
      <c r="D19" s="150">
        <v>458.27517609964019</v>
      </c>
      <c r="E19" s="150">
        <v>1.6667935517238905</v>
      </c>
      <c r="F19" s="150">
        <v>2.3571626046171093E-2</v>
      </c>
      <c r="G19" s="150">
        <v>2.5629349431826114</v>
      </c>
      <c r="H19" s="150">
        <v>79.786525264066583</v>
      </c>
      <c r="I19" s="150">
        <v>542.31500148465943</v>
      </c>
      <c r="J19" s="149">
        <v>681612.94697854121</v>
      </c>
      <c r="K19" s="149">
        <v>2291.1388484660056</v>
      </c>
      <c r="L19" s="149">
        <v>4.0600879266709473</v>
      </c>
      <c r="M19" s="149">
        <v>2887.0348303189412</v>
      </c>
      <c r="N19" s="149">
        <v>1770.5106504844307</v>
      </c>
      <c r="O19" s="149">
        <v>324.36979389541887</v>
      </c>
      <c r="P19" s="149">
        <v>287.32929942594393</v>
      </c>
      <c r="Q19" s="149">
        <v>0</v>
      </c>
      <c r="R19" s="149">
        <v>20.341040512621447</v>
      </c>
      <c r="S19" s="140">
        <f>SUM(J19:R19)</f>
        <v>689197.73152957135</v>
      </c>
      <c r="T19" s="151" t="s">
        <v>358</v>
      </c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</row>
    <row r="20" spans="1:32" s="153" customFormat="1">
      <c r="A20" s="147">
        <v>10</v>
      </c>
      <c r="B20" s="148" t="s">
        <v>152</v>
      </c>
      <c r="C20" s="149">
        <v>635061.54327313136</v>
      </c>
      <c r="D20" s="150">
        <v>546.29412942501938</v>
      </c>
      <c r="E20" s="150">
        <v>1.9869274613998751</v>
      </c>
      <c r="F20" s="150">
        <v>2.8098927460180313E-2</v>
      </c>
      <c r="G20" s="150">
        <v>3.0551868976959091</v>
      </c>
      <c r="H20" s="150">
        <v>95.110781975901105</v>
      </c>
      <c r="I20" s="150">
        <v>646.4751246874763</v>
      </c>
      <c r="J20" s="149">
        <v>609700.63229785732</v>
      </c>
      <c r="K20" s="149">
        <v>2731.188089364111</v>
      </c>
      <c r="L20" s="149">
        <v>4.839891652362792</v>
      </c>
      <c r="M20" s="149">
        <v>3441.5352641878189</v>
      </c>
      <c r="N20" s="149">
        <v>2110.5650597880513</v>
      </c>
      <c r="O20" s="149">
        <v>386.6701130879996</v>
      </c>
      <c r="P20" s="149">
        <v>342.51540924413604</v>
      </c>
      <c r="Q20" s="149">
        <v>0</v>
      </c>
      <c r="R20" s="149">
        <v>24.247857178337586</v>
      </c>
      <c r="S20" s="140">
        <f>SUM(J20:R20)</f>
        <v>618742.19398236007</v>
      </c>
      <c r="T20" s="151" t="s">
        <v>357</v>
      </c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</row>
    <row r="21" spans="1:32" s="153" customFormat="1">
      <c r="A21" s="147">
        <v>11</v>
      </c>
      <c r="B21" s="148" t="s">
        <v>109</v>
      </c>
      <c r="C21" s="149">
        <v>447830.8391950092</v>
      </c>
      <c r="D21" s="150">
        <v>385.23409426870916</v>
      </c>
      <c r="E21" s="150">
        <v>1.4011356881605743</v>
      </c>
      <c r="F21" s="150">
        <v>1.981471937367843E-2</v>
      </c>
      <c r="G21" s="150">
        <v>2.1544477488606302</v>
      </c>
      <c r="H21" s="150">
        <v>67.069942684976041</v>
      </c>
      <c r="I21" s="150">
        <v>455.87943511008001</v>
      </c>
      <c r="J21" s="149">
        <f>124447.568145533+82904</f>
        <v>207351.56814553301</v>
      </c>
      <c r="K21" s="149">
        <v>1925.971218089174</v>
      </c>
      <c r="L21" s="149">
        <v>3.4129806209322879</v>
      </c>
      <c r="M21" s="149">
        <v>2426.8917584536975</v>
      </c>
      <c r="N21" s="149">
        <v>1488.3220876973185</v>
      </c>
      <c r="O21" s="149">
        <v>272.67089791540565</v>
      </c>
      <c r="P21" s="149">
        <v>241.53401317366959</v>
      </c>
      <c r="Q21" s="149">
        <v>0</v>
      </c>
      <c r="R21" s="149">
        <v>17.099032910870761</v>
      </c>
      <c r="S21" s="140">
        <f>SUM(J21:R21)</f>
        <v>213727.47013439404</v>
      </c>
      <c r="T21" s="151" t="s">
        <v>357</v>
      </c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</row>
    <row r="22" spans="1:32" s="153" customFormat="1" ht="9.75" customHeight="1">
      <c r="A22" s="147"/>
      <c r="B22" s="148"/>
      <c r="C22" s="154"/>
      <c r="D22" s="150"/>
      <c r="E22" s="150"/>
      <c r="F22" s="150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51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</row>
    <row r="23" spans="1:32" s="160" customFormat="1">
      <c r="A23" s="155"/>
      <c r="B23" s="156" t="s">
        <v>25</v>
      </c>
      <c r="C23" s="157">
        <v>2266050</v>
      </c>
      <c r="D23" s="158">
        <v>2111.2969999999996</v>
      </c>
      <c r="E23" s="158">
        <v>12.299999999999999</v>
      </c>
      <c r="F23" s="158">
        <v>0</v>
      </c>
      <c r="G23" s="158">
        <v>0</v>
      </c>
      <c r="H23" s="158">
        <v>0</v>
      </c>
      <c r="I23" s="158">
        <v>2123.5969999999998</v>
      </c>
      <c r="J23" s="145">
        <f t="shared" ref="J23:R23" si="3">SUM(J24:J27)</f>
        <v>1440707.549810173</v>
      </c>
      <c r="K23" s="145">
        <f t="shared" si="3"/>
        <v>31921.999999999996</v>
      </c>
      <c r="L23" s="145">
        <f t="shared" si="3"/>
        <v>6388</v>
      </c>
      <c r="M23" s="145">
        <f t="shared" si="3"/>
        <v>325390</v>
      </c>
      <c r="N23" s="145">
        <f t="shared" si="3"/>
        <v>27737</v>
      </c>
      <c r="O23" s="145">
        <f t="shared" si="3"/>
        <v>18939</v>
      </c>
      <c r="P23" s="145">
        <f t="shared" si="3"/>
        <v>0</v>
      </c>
      <c r="Q23" s="145">
        <f t="shared" si="3"/>
        <v>0</v>
      </c>
      <c r="R23" s="145">
        <f t="shared" si="3"/>
        <v>16241.999999999998</v>
      </c>
      <c r="S23" s="145">
        <f>SUM(J23:R23)</f>
        <v>1867325.549810173</v>
      </c>
      <c r="T23" s="151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</row>
    <row r="24" spans="1:32" s="153" customFormat="1">
      <c r="A24" s="147">
        <v>12</v>
      </c>
      <c r="B24" s="148" t="s">
        <v>167</v>
      </c>
      <c r="C24" s="149">
        <v>549819.07890642434</v>
      </c>
      <c r="D24" s="150">
        <v>512.2708553817863</v>
      </c>
      <c r="E24" s="150">
        <v>2.9843889898938767</v>
      </c>
      <c r="F24" s="150">
        <v>0</v>
      </c>
      <c r="G24" s="150">
        <v>0</v>
      </c>
      <c r="H24" s="150">
        <v>0</v>
      </c>
      <c r="I24" s="150">
        <v>515.25524437168019</v>
      </c>
      <c r="J24" s="149">
        <v>241045</v>
      </c>
      <c r="K24" s="149">
        <v>7745.3386451538481</v>
      </c>
      <c r="L24" s="149">
        <v>1549.9412087351288</v>
      </c>
      <c r="M24" s="149">
        <v>78950.433611509638</v>
      </c>
      <c r="N24" s="149">
        <v>6729.918488836297</v>
      </c>
      <c r="O24" s="149">
        <v>4595.2311446829381</v>
      </c>
      <c r="P24" s="149">
        <v>0</v>
      </c>
      <c r="Q24" s="149">
        <v>0</v>
      </c>
      <c r="R24" s="149">
        <v>3940.8492661671826</v>
      </c>
      <c r="S24" s="140">
        <f>SUM(J24:R24)</f>
        <v>344556.71236508508</v>
      </c>
      <c r="T24" s="151" t="s">
        <v>357</v>
      </c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</row>
    <row r="25" spans="1:32" s="153" customFormat="1" ht="48">
      <c r="A25" s="147">
        <v>13</v>
      </c>
      <c r="B25" s="148" t="s">
        <v>239</v>
      </c>
      <c r="C25" s="149">
        <v>309395.45568831416</v>
      </c>
      <c r="D25" s="150">
        <v>288.26623305239093</v>
      </c>
      <c r="E25" s="150">
        <v>1.6793822311803641</v>
      </c>
      <c r="F25" s="150">
        <v>0</v>
      </c>
      <c r="G25" s="150">
        <v>0</v>
      </c>
      <c r="H25" s="150">
        <v>0</v>
      </c>
      <c r="I25" s="150">
        <v>289.94561528357133</v>
      </c>
      <c r="J25" s="149">
        <f>362201.499126711+82904</f>
        <v>445105.49912671099</v>
      </c>
      <c r="K25" s="149">
        <v>4358.4747629056574</v>
      </c>
      <c r="L25" s="149">
        <v>872.18647908781838</v>
      </c>
      <c r="M25" s="149">
        <v>44427.169447461682</v>
      </c>
      <c r="N25" s="149">
        <v>3787.0751988820944</v>
      </c>
      <c r="O25" s="149">
        <v>2585.8390305955218</v>
      </c>
      <c r="P25" s="149">
        <v>0</v>
      </c>
      <c r="Q25" s="149">
        <v>0</v>
      </c>
      <c r="R25" s="149">
        <v>2217.6037560025588</v>
      </c>
      <c r="S25" s="140">
        <f>SUM(J25:R25)</f>
        <v>503353.84780164628</v>
      </c>
      <c r="T25" s="151" t="s">
        <v>358</v>
      </c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</row>
    <row r="26" spans="1:32" s="153" customFormat="1">
      <c r="A26" s="147">
        <v>14</v>
      </c>
      <c r="B26" s="148" t="s">
        <v>83</v>
      </c>
      <c r="C26" s="149">
        <v>127488.82882987542</v>
      </c>
      <c r="D26" s="150">
        <v>118.78236660357426</v>
      </c>
      <c r="E26" s="150">
        <v>0.69200264539946943</v>
      </c>
      <c r="F26" s="150">
        <v>0</v>
      </c>
      <c r="G26" s="150">
        <v>0</v>
      </c>
      <c r="H26" s="150">
        <v>0</v>
      </c>
      <c r="I26" s="150">
        <v>119.47436924897373</v>
      </c>
      <c r="J26" s="149">
        <v>50000</v>
      </c>
      <c r="K26" s="149">
        <v>1795.9437761334848</v>
      </c>
      <c r="L26" s="149">
        <v>359.39129258632607</v>
      </c>
      <c r="M26" s="149">
        <v>18306.564291588078</v>
      </c>
      <c r="N26" s="149">
        <v>1560.4940955646409</v>
      </c>
      <c r="O26" s="149">
        <v>1065.5152927821587</v>
      </c>
      <c r="P26" s="149">
        <v>0</v>
      </c>
      <c r="Q26" s="149">
        <v>0</v>
      </c>
      <c r="R26" s="149">
        <v>913.78105419334815</v>
      </c>
      <c r="S26" s="140">
        <f>SUM(J26:R26)</f>
        <v>74001.689802848035</v>
      </c>
      <c r="T26" s="151" t="s">
        <v>357</v>
      </c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</row>
    <row r="27" spans="1:32" s="153" customFormat="1">
      <c r="A27" s="147">
        <v>15</v>
      </c>
      <c r="B27" s="148" t="s">
        <v>42</v>
      </c>
      <c r="C27" s="149">
        <v>1279346.6365753859</v>
      </c>
      <c r="D27" s="150">
        <v>1191.977544962248</v>
      </c>
      <c r="E27" s="150">
        <v>6.9442261335262891</v>
      </c>
      <c r="F27" s="150">
        <v>0</v>
      </c>
      <c r="G27" s="150">
        <v>0</v>
      </c>
      <c r="H27" s="150">
        <v>0</v>
      </c>
      <c r="I27" s="150">
        <v>1198.9217710957744</v>
      </c>
      <c r="J27" s="149">
        <v>704557.05068346206</v>
      </c>
      <c r="K27" s="149">
        <v>18022.242815807007</v>
      </c>
      <c r="L27" s="149">
        <v>3606.4810195907262</v>
      </c>
      <c r="M27" s="149">
        <v>183705.83264944056</v>
      </c>
      <c r="N27" s="149">
        <v>15659.512216716965</v>
      </c>
      <c r="O27" s="149">
        <v>10692.414531939381</v>
      </c>
      <c r="P27" s="149">
        <v>0</v>
      </c>
      <c r="Q27" s="149">
        <v>0</v>
      </c>
      <c r="R27" s="149">
        <v>9169.7659236369091</v>
      </c>
      <c r="S27" s="140">
        <f>SUM(J27:R27)</f>
        <v>945413.29984059371</v>
      </c>
      <c r="T27" s="151" t="s">
        <v>357</v>
      </c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</row>
    <row r="28" spans="1:32" s="153" customFormat="1" ht="9.75" customHeight="1">
      <c r="A28" s="147"/>
      <c r="B28" s="148"/>
      <c r="C28" s="154"/>
      <c r="D28" s="150"/>
      <c r="E28" s="150"/>
      <c r="F28" s="150"/>
      <c r="G28" s="150"/>
      <c r="H28" s="150"/>
      <c r="I28" s="150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60" customFormat="1">
      <c r="A29" s="155"/>
      <c r="B29" s="196" t="s">
        <v>338</v>
      </c>
      <c r="C29" s="157">
        <v>582866</v>
      </c>
      <c r="D29" s="158">
        <v>352.72167278721162</v>
      </c>
      <c r="E29" s="158">
        <v>35.727046251868522</v>
      </c>
      <c r="F29" s="158">
        <v>1.3978949315068443</v>
      </c>
      <c r="G29" s="158">
        <v>2.2284444444444396</v>
      </c>
      <c r="H29" s="158">
        <v>215.51692477236753</v>
      </c>
      <c r="I29" s="158">
        <v>607.59198318739902</v>
      </c>
      <c r="J29" s="145">
        <f>SUM(J30:J35)</f>
        <v>523315</v>
      </c>
      <c r="K29" s="145">
        <f t="shared" ref="K29:S29" si="4">SUM(K30:K35)</f>
        <v>6800</v>
      </c>
      <c r="L29" s="145">
        <f t="shared" si="4"/>
        <v>166.00000000000003</v>
      </c>
      <c r="M29" s="145">
        <f t="shared" si="4"/>
        <v>3673</v>
      </c>
      <c r="N29" s="145">
        <f t="shared" si="4"/>
        <v>1928</v>
      </c>
      <c r="O29" s="145">
        <f t="shared" si="4"/>
        <v>8735</v>
      </c>
      <c r="P29" s="145">
        <f t="shared" si="4"/>
        <v>7644.0000000000009</v>
      </c>
      <c r="Q29" s="145">
        <f t="shared" si="4"/>
        <v>0</v>
      </c>
      <c r="R29" s="145">
        <f t="shared" si="4"/>
        <v>1193</v>
      </c>
      <c r="S29" s="145">
        <f t="shared" si="4"/>
        <v>553454</v>
      </c>
      <c r="T29" s="151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</row>
    <row r="30" spans="1:32" s="153" customFormat="1">
      <c r="A30" s="147">
        <v>16</v>
      </c>
      <c r="B30" s="148" t="s">
        <v>252</v>
      </c>
      <c r="C30" s="149">
        <v>120414.06603458826</v>
      </c>
      <c r="D30" s="150">
        <v>72.868636700081566</v>
      </c>
      <c r="E30" s="150">
        <v>7.3808369446721631</v>
      </c>
      <c r="F30" s="150">
        <v>0.28879058409974395</v>
      </c>
      <c r="G30" s="150">
        <v>0.46037349320039961</v>
      </c>
      <c r="H30" s="150">
        <v>44.52355980810556</v>
      </c>
      <c r="I30" s="150">
        <v>125.52219753015942</v>
      </c>
      <c r="J30" s="149">
        <v>58562.999999999993</v>
      </c>
      <c r="K30" s="149">
        <v>1404.8094228093596</v>
      </c>
      <c r="L30" s="149">
        <v>34.293877086228484</v>
      </c>
      <c r="M30" s="149">
        <v>758.80367793805556</v>
      </c>
      <c r="N30" s="149">
        <v>398.30478929065373</v>
      </c>
      <c r="O30" s="149">
        <v>1804.5603394470229</v>
      </c>
      <c r="P30" s="149">
        <v>1579.1710629345214</v>
      </c>
      <c r="Q30" s="149">
        <v>0</v>
      </c>
      <c r="R30" s="149">
        <v>246.46141785464206</v>
      </c>
      <c r="S30" s="140">
        <f t="shared" ref="S30:S35" si="5">SUM(J30:R30)</f>
        <v>64789.404587360477</v>
      </c>
      <c r="T30" s="151" t="s">
        <v>328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53" customFormat="1">
      <c r="A31" s="147">
        <v>17</v>
      </c>
      <c r="B31" s="148" t="s">
        <v>208</v>
      </c>
      <c r="C31" s="149">
        <v>29917.676448618076</v>
      </c>
      <c r="D31" s="150">
        <v>18.10469796293339</v>
      </c>
      <c r="E31" s="150">
        <v>1.8338180820775538</v>
      </c>
      <c r="F31" s="150">
        <v>7.1751943448382455E-2</v>
      </c>
      <c r="G31" s="150">
        <v>0.11438285964974661</v>
      </c>
      <c r="H31" s="150">
        <v>11.062174881603754</v>
      </c>
      <c r="I31" s="150">
        <v>31.186825729712826</v>
      </c>
      <c r="J31" s="149">
        <v>12937.999999999998</v>
      </c>
      <c r="K31" s="149">
        <v>349.03425461530253</v>
      </c>
      <c r="L31" s="149">
        <v>8.5205420979617976</v>
      </c>
      <c r="M31" s="149">
        <v>188.52982605911853</v>
      </c>
      <c r="N31" s="149">
        <v>98.961476896809302</v>
      </c>
      <c r="O31" s="149">
        <v>448.35503148009815</v>
      </c>
      <c r="P31" s="149">
        <v>392.35556504108416</v>
      </c>
      <c r="Q31" s="149">
        <v>0</v>
      </c>
      <c r="R31" s="149">
        <v>61.234980258243517</v>
      </c>
      <c r="S31" s="140">
        <f t="shared" si="5"/>
        <v>14484.991676448615</v>
      </c>
      <c r="T31" s="151" t="s">
        <v>328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53" customFormat="1">
      <c r="A32" s="147">
        <v>18</v>
      </c>
      <c r="B32" s="148" t="s">
        <v>262</v>
      </c>
      <c r="C32" s="149">
        <v>140952.96880356717</v>
      </c>
      <c r="D32" s="150">
        <v>85.297764736179289</v>
      </c>
      <c r="E32" s="150">
        <v>8.6397786725992329</v>
      </c>
      <c r="F32" s="150">
        <v>0.33804929550076496</v>
      </c>
      <c r="G32" s="150">
        <v>0.53889892403787432</v>
      </c>
      <c r="H32" s="150">
        <v>52.117897379638293</v>
      </c>
      <c r="I32" s="150">
        <v>146.93238900795544</v>
      </c>
      <c r="J32" s="149">
        <v>151402</v>
      </c>
      <c r="K32" s="149">
        <v>1644.4263138770434</v>
      </c>
      <c r="L32" s="149">
        <v>40.143348250527829</v>
      </c>
      <c r="M32" s="149">
        <v>888.23203689270292</v>
      </c>
      <c r="N32" s="149">
        <v>466.24322546396172</v>
      </c>
      <c r="O32" s="149">
        <v>2112.3623311347019</v>
      </c>
      <c r="P32" s="149">
        <v>1848.5286387170763</v>
      </c>
      <c r="Q32" s="149">
        <v>0</v>
      </c>
      <c r="R32" s="149">
        <v>288.50008712578131</v>
      </c>
      <c r="S32" s="140">
        <f t="shared" si="5"/>
        <v>158690.43598146181</v>
      </c>
      <c r="T32" s="151" t="s">
        <v>328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53" customFormat="1">
      <c r="A33" s="147">
        <v>19</v>
      </c>
      <c r="B33" s="148" t="s">
        <v>255</v>
      </c>
      <c r="C33" s="149">
        <v>1574.6559882427473</v>
      </c>
      <c r="D33" s="150">
        <v>0.95290391657324625</v>
      </c>
      <c r="E33" s="150">
        <v>9.651928114305923E-2</v>
      </c>
      <c r="F33" s="150">
        <v>3.7765174582690313E-3</v>
      </c>
      <c r="G33" s="150">
        <v>6.0203089370639545E-3</v>
      </c>
      <c r="H33" s="150">
        <v>0.582235052585792</v>
      </c>
      <c r="I33" s="150">
        <v>1.6414550766974303</v>
      </c>
      <c r="J33" s="149">
        <v>0</v>
      </c>
      <c r="K33" s="149">
        <v>18.370707366788732</v>
      </c>
      <c r="L33" s="149">
        <v>0.44846138571866617</v>
      </c>
      <c r="M33" s="149">
        <v>9.9228835526786785</v>
      </c>
      <c r="N33" s="149">
        <v>5.2086358534071584</v>
      </c>
      <c r="O33" s="149">
        <v>23.598254242485233</v>
      </c>
      <c r="P33" s="149">
        <v>20.650836339960748</v>
      </c>
      <c r="Q33" s="149">
        <v>0</v>
      </c>
      <c r="R33" s="149">
        <v>3.2229785130263173</v>
      </c>
      <c r="S33" s="140">
        <f t="shared" si="5"/>
        <v>81.42275725406553</v>
      </c>
      <c r="T33" s="151" t="s">
        <v>328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53" customFormat="1">
      <c r="A34" s="147">
        <v>20</v>
      </c>
      <c r="B34" s="148" t="s">
        <v>213</v>
      </c>
      <c r="C34" s="149">
        <v>288622.63272498373</v>
      </c>
      <c r="D34" s="150">
        <v>174.66014112850172</v>
      </c>
      <c r="E34" s="150">
        <v>17.691260338914184</v>
      </c>
      <c r="F34" s="150">
        <v>0.69220732621977632</v>
      </c>
      <c r="G34" s="150">
        <v>1.1034774758467949</v>
      </c>
      <c r="H34" s="150">
        <v>106.71931837608128</v>
      </c>
      <c r="I34" s="150">
        <v>300.8664046455637</v>
      </c>
      <c r="J34" s="149">
        <f>299186</f>
        <v>299186</v>
      </c>
      <c r="K34" s="149">
        <v>3367.2128800271239</v>
      </c>
      <c r="L34" s="149">
        <v>82.199608541838614</v>
      </c>
      <c r="M34" s="149">
        <v>1818.7901335793565</v>
      </c>
      <c r="N34" s="149">
        <v>954.70388716063144</v>
      </c>
      <c r="O34" s="149">
        <v>4325.3830157407237</v>
      </c>
      <c r="P34" s="149">
        <v>3785.1434198422548</v>
      </c>
      <c r="Q34" s="149">
        <v>0</v>
      </c>
      <c r="R34" s="149">
        <v>590.7477890988763</v>
      </c>
      <c r="S34" s="140">
        <f t="shared" si="5"/>
        <v>314110.1807339908</v>
      </c>
      <c r="T34" s="151" t="s">
        <v>328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53" customFormat="1">
      <c r="A35" s="147">
        <v>21</v>
      </c>
      <c r="B35" s="148" t="s">
        <v>121</v>
      </c>
      <c r="C35" s="149">
        <v>1384</v>
      </c>
      <c r="D35" s="150">
        <v>0.83752834294246181</v>
      </c>
      <c r="E35" s="150">
        <v>8.4832932462325872E-2</v>
      </c>
      <c r="F35" s="150">
        <v>3.3192647799073411E-3</v>
      </c>
      <c r="G35" s="150">
        <v>5.2913827725602535E-3</v>
      </c>
      <c r="H35" s="150">
        <v>0.51173927435286448</v>
      </c>
      <c r="I35" s="150">
        <v>1.4427111973101197</v>
      </c>
      <c r="J35" s="149">
        <v>1226</v>
      </c>
      <c r="K35" s="149">
        <v>16.146421304382141</v>
      </c>
      <c r="L35" s="149">
        <v>0.39416263772462284</v>
      </c>
      <c r="M35" s="149">
        <v>8.7214419780875883</v>
      </c>
      <c r="N35" s="149">
        <v>4.5779853345365833</v>
      </c>
      <c r="O35" s="149">
        <v>20.74102795496735</v>
      </c>
      <c r="P35" s="149">
        <v>18.150477125102512</v>
      </c>
      <c r="Q35" s="149">
        <v>0</v>
      </c>
      <c r="R35" s="149">
        <v>2.8327471494305723</v>
      </c>
      <c r="S35" s="140">
        <f t="shared" si="5"/>
        <v>1297.5642634842313</v>
      </c>
      <c r="T35" s="151" t="s">
        <v>328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53" customFormat="1" ht="9.75" customHeight="1">
      <c r="A36" s="147"/>
      <c r="B36" s="148"/>
      <c r="C36" s="154"/>
      <c r="D36" s="150"/>
      <c r="E36" s="150"/>
      <c r="F36" s="150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51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60" customFormat="1">
      <c r="A37" s="155"/>
      <c r="B37" s="156" t="s">
        <v>339</v>
      </c>
      <c r="C37" s="157">
        <v>1236694</v>
      </c>
      <c r="D37" s="158">
        <v>1500.0127459948262</v>
      </c>
      <c r="E37" s="158">
        <v>64.973600000000033</v>
      </c>
      <c r="F37" s="158">
        <v>30.440892000000002</v>
      </c>
      <c r="G37" s="158">
        <v>132.61000000000001</v>
      </c>
      <c r="H37" s="158">
        <v>11.574</v>
      </c>
      <c r="I37" s="158">
        <v>1739.6112379948261</v>
      </c>
      <c r="J37" s="145">
        <f>SUM(J38:J42)</f>
        <v>1028457.5772186229</v>
      </c>
      <c r="K37" s="145">
        <f t="shared" ref="K37:S37" si="6">SUM(K38:K42)</f>
        <v>15704</v>
      </c>
      <c r="L37" s="145">
        <f t="shared" si="6"/>
        <v>299</v>
      </c>
      <c r="M37" s="145">
        <f t="shared" si="6"/>
        <v>38655</v>
      </c>
      <c r="N37" s="145">
        <f t="shared" si="6"/>
        <v>820</v>
      </c>
      <c r="O37" s="145">
        <f t="shared" si="6"/>
        <v>646</v>
      </c>
      <c r="P37" s="145">
        <f t="shared" si="6"/>
        <v>11113</v>
      </c>
      <c r="Q37" s="145">
        <f t="shared" si="6"/>
        <v>2925</v>
      </c>
      <c r="R37" s="145">
        <f t="shared" si="6"/>
        <v>1000</v>
      </c>
      <c r="S37" s="145">
        <f t="shared" si="6"/>
        <v>1099619.5772186229</v>
      </c>
      <c r="T37" s="151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</row>
    <row r="38" spans="1:32" s="153" customFormat="1">
      <c r="A38" s="147">
        <v>22</v>
      </c>
      <c r="B38" s="148" t="s">
        <v>45</v>
      </c>
      <c r="C38" s="149">
        <v>163119.26706059868</v>
      </c>
      <c r="D38" s="150">
        <v>197.85086667213722</v>
      </c>
      <c r="E38" s="150">
        <v>8.5699825585702829</v>
      </c>
      <c r="F38" s="150">
        <v>4.0151371250372705</v>
      </c>
      <c r="G38" s="150">
        <v>17.491186991208814</v>
      </c>
      <c r="H38" s="150">
        <v>1.5266043151817419</v>
      </c>
      <c r="I38" s="150">
        <v>229.45377766213528</v>
      </c>
      <c r="J38" s="149">
        <v>168520.49136262026</v>
      </c>
      <c r="K38" s="149">
        <v>2071.3490725431202</v>
      </c>
      <c r="L38" s="149">
        <v>39.437937639479941</v>
      </c>
      <c r="M38" s="149">
        <v>5098.5735098799232</v>
      </c>
      <c r="N38" s="149">
        <v>108.15755473034633</v>
      </c>
      <c r="O38" s="149">
        <v>85.207049214394786</v>
      </c>
      <c r="P38" s="149">
        <v>1465.7986655101693</v>
      </c>
      <c r="Q38" s="149">
        <v>385.80591169056459</v>
      </c>
      <c r="R38" s="149">
        <v>131.89945698822723</v>
      </c>
      <c r="S38" s="140">
        <f>SUM(J38:R38)</f>
        <v>177906.72052081651</v>
      </c>
      <c r="T38" s="151" t="s">
        <v>328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53" customFormat="1">
      <c r="A39" s="147">
        <v>23</v>
      </c>
      <c r="B39" s="148" t="s">
        <v>39</v>
      </c>
      <c r="C39" s="149">
        <v>395420.50089899619</v>
      </c>
      <c r="D39" s="150">
        <v>479.61402851162291</v>
      </c>
      <c r="E39" s="150">
        <v>20.774656832822856</v>
      </c>
      <c r="F39" s="150">
        <v>9.7331698564497326</v>
      </c>
      <c r="G39" s="150">
        <v>42.400717254402373</v>
      </c>
      <c r="H39" s="150">
        <v>3.7006703981785161</v>
      </c>
      <c r="I39" s="150">
        <v>556.22324285347634</v>
      </c>
      <c r="J39" s="149">
        <v>388912</v>
      </c>
      <c r="K39" s="149">
        <v>5021.1964690682062</v>
      </c>
      <c r="L39" s="149">
        <v>95.602250652788697</v>
      </c>
      <c r="M39" s="149">
        <v>12359.54849158377</v>
      </c>
      <c r="N39" s="149">
        <v>262.18677436550746</v>
      </c>
      <c r="O39" s="149">
        <v>206.55201980502173</v>
      </c>
      <c r="P39" s="149">
        <v>3553.2702725901031</v>
      </c>
      <c r="Q39" s="149">
        <v>935.2394085598894</v>
      </c>
      <c r="R39" s="149">
        <v>319.73996873842373</v>
      </c>
      <c r="S39" s="140">
        <f>SUM(J39:R39)</f>
        <v>411665.33565536363</v>
      </c>
      <c r="T39" s="151" t="s">
        <v>328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53" customFormat="1">
      <c r="A40" s="147">
        <v>24</v>
      </c>
      <c r="B40" s="148" t="s">
        <v>65</v>
      </c>
      <c r="C40" s="149">
        <v>129959.44848013927</v>
      </c>
      <c r="D40" s="150">
        <v>157.63060965984056</v>
      </c>
      <c r="E40" s="150">
        <v>6.8278274348943064</v>
      </c>
      <c r="F40" s="150">
        <v>3.1989170607793711</v>
      </c>
      <c r="G40" s="150">
        <v>13.935478350304335</v>
      </c>
      <c r="H40" s="150">
        <v>1.2162674491095873</v>
      </c>
      <c r="I40" s="150">
        <v>182.80909995492814</v>
      </c>
      <c r="J40" s="149">
        <v>113853.8197928803</v>
      </c>
      <c r="K40" s="149">
        <v>1650.2733731481733</v>
      </c>
      <c r="L40" s="149">
        <v>31.420767866231778</v>
      </c>
      <c r="M40" s="149">
        <v>4062.1062938768873</v>
      </c>
      <c r="N40" s="149">
        <v>86.170667726789489</v>
      </c>
      <c r="O40" s="149">
        <v>67.885672379885378</v>
      </c>
      <c r="P40" s="149">
        <v>1167.8227200583069</v>
      </c>
      <c r="Q40" s="149">
        <v>307.37707695226737</v>
      </c>
      <c r="R40" s="149">
        <v>105.08618015462133</v>
      </c>
      <c r="S40" s="140">
        <f>SUM(J40:R40)</f>
        <v>121331.96254504347</v>
      </c>
      <c r="T40" s="151" t="s">
        <v>328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53" customFormat="1">
      <c r="A41" s="147">
        <v>25</v>
      </c>
      <c r="B41" s="148" t="s">
        <v>172</v>
      </c>
      <c r="C41" s="149">
        <v>259595.79078687014</v>
      </c>
      <c r="D41" s="150">
        <v>314.86931689400251</v>
      </c>
      <c r="E41" s="150">
        <v>13.638679473070777</v>
      </c>
      <c r="F41" s="150">
        <v>6.3898809495297213</v>
      </c>
      <c r="G41" s="150">
        <v>27.836310207898521</v>
      </c>
      <c r="H41" s="150">
        <v>2.429511004797658</v>
      </c>
      <c r="I41" s="150">
        <v>365.1636985292991</v>
      </c>
      <c r="J41" s="149">
        <v>200270.80488420781</v>
      </c>
      <c r="K41" s="149">
        <v>3296.443824031659</v>
      </c>
      <c r="L41" s="149">
        <v>62.76341717941073</v>
      </c>
      <c r="M41" s="149">
        <v>8114.1133480606077</v>
      </c>
      <c r="N41" s="149">
        <v>172.12709728132708</v>
      </c>
      <c r="O41" s="149">
        <v>135.60256688260645</v>
      </c>
      <c r="P41" s="149">
        <v>2332.7419903504733</v>
      </c>
      <c r="Q41" s="149">
        <v>613.98995066814837</v>
      </c>
      <c r="R41" s="149">
        <v>209.91109424552084</v>
      </c>
      <c r="S41" s="140">
        <f>SUM(J41:R41)</f>
        <v>215208.4981729076</v>
      </c>
      <c r="T41" s="151" t="s">
        <v>328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53" customFormat="1">
      <c r="A42" s="147">
        <v>26</v>
      </c>
      <c r="B42" s="148" t="s">
        <v>184</v>
      </c>
      <c r="C42" s="149">
        <v>288598.99277339573</v>
      </c>
      <c r="D42" s="150">
        <v>350.0479242572232</v>
      </c>
      <c r="E42" s="150">
        <v>15.1624537006418</v>
      </c>
      <c r="F42" s="150">
        <v>7.1037870082039047</v>
      </c>
      <c r="G42" s="150">
        <v>30.94630719618597</v>
      </c>
      <c r="H42" s="150">
        <v>2.7009468327324968</v>
      </c>
      <c r="I42" s="150">
        <v>405.9614189949873</v>
      </c>
      <c r="J42" s="149">
        <v>156900.46117891459</v>
      </c>
      <c r="K42" s="149">
        <v>3664.7372612088407</v>
      </c>
      <c r="L42" s="149">
        <v>69.775626662088868</v>
      </c>
      <c r="M42" s="149">
        <v>9020.658356598813</v>
      </c>
      <c r="N42" s="149">
        <v>191.35790589602965</v>
      </c>
      <c r="O42" s="149">
        <v>150.75269171809165</v>
      </c>
      <c r="P42" s="149">
        <v>2593.3663514909485</v>
      </c>
      <c r="Q42" s="149">
        <v>682.58765212913011</v>
      </c>
      <c r="R42" s="149">
        <v>233.3632998732069</v>
      </c>
      <c r="S42" s="140">
        <f>SUM(J42:R42)</f>
        <v>173507.06032449176</v>
      </c>
      <c r="T42" s="151" t="s">
        <v>328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53" customFormat="1" ht="9.75" customHeight="1">
      <c r="A43" s="161"/>
      <c r="B43" s="162"/>
      <c r="C43" s="163"/>
      <c r="D43" s="164"/>
      <c r="E43" s="164"/>
      <c r="F43" s="164"/>
      <c r="G43" s="164"/>
      <c r="H43" s="164"/>
      <c r="I43" s="164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60" customFormat="1">
      <c r="A44" s="155"/>
      <c r="B44" s="156" t="s">
        <v>340</v>
      </c>
      <c r="C44" s="157">
        <v>567677</v>
      </c>
      <c r="D44" s="158">
        <v>365.8075</v>
      </c>
      <c r="E44" s="158">
        <v>4.2428999999999997</v>
      </c>
      <c r="F44" s="158">
        <v>0</v>
      </c>
      <c r="G44" s="158">
        <v>26.831499999999998</v>
      </c>
      <c r="H44" s="158">
        <v>135.32400000000001</v>
      </c>
      <c r="I44" s="158">
        <v>532.20589999999993</v>
      </c>
      <c r="J44" s="145">
        <f>SUM(J45:J50)</f>
        <v>550114.45963038842</v>
      </c>
      <c r="K44" s="145">
        <f t="shared" ref="K44:R44" si="7">SUM(K45:K50)</f>
        <v>3339</v>
      </c>
      <c r="L44" s="145">
        <f t="shared" si="7"/>
        <v>100.99999999999999</v>
      </c>
      <c r="M44" s="145">
        <f t="shared" si="7"/>
        <v>573.99999999999989</v>
      </c>
      <c r="N44" s="145">
        <f t="shared" si="7"/>
        <v>889.99999999999989</v>
      </c>
      <c r="O44" s="145">
        <f t="shared" si="7"/>
        <v>4237</v>
      </c>
      <c r="P44" s="145">
        <f t="shared" si="7"/>
        <v>1897.0000000000002</v>
      </c>
      <c r="Q44" s="145">
        <f t="shared" si="7"/>
        <v>0</v>
      </c>
      <c r="R44" s="145">
        <f t="shared" si="7"/>
        <v>1356</v>
      </c>
      <c r="S44" s="145">
        <f>SUM(S45:S50)</f>
        <v>562508.45963038853</v>
      </c>
      <c r="T44" s="151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</row>
    <row r="45" spans="1:32" s="153" customFormat="1">
      <c r="A45" s="147">
        <v>27</v>
      </c>
      <c r="B45" s="148" t="s">
        <v>93</v>
      </c>
      <c r="C45" s="149">
        <v>93643.905794493432</v>
      </c>
      <c r="D45" s="150">
        <v>60.343545834901114</v>
      </c>
      <c r="E45" s="150">
        <v>0.69990809544063992</v>
      </c>
      <c r="F45" s="150">
        <v>0</v>
      </c>
      <c r="G45" s="150">
        <v>4.4261198856479131</v>
      </c>
      <c r="H45" s="150">
        <v>22.323025078934023</v>
      </c>
      <c r="I45" s="150">
        <v>87.792598894923671</v>
      </c>
      <c r="J45" s="149">
        <v>70728.999999999985</v>
      </c>
      <c r="K45" s="149">
        <v>550.8008981301225</v>
      </c>
      <c r="L45" s="149">
        <v>16.66094360920706</v>
      </c>
      <c r="M45" s="149">
        <v>94.686946848364869</v>
      </c>
      <c r="N45" s="149">
        <v>146.81425556628002</v>
      </c>
      <c r="O45" s="149">
        <v>698.93483239812201</v>
      </c>
      <c r="P45" s="149">
        <v>312.92881214520588</v>
      </c>
      <c r="Q45" s="149">
        <v>0</v>
      </c>
      <c r="R45" s="149">
        <v>223.6855399414334</v>
      </c>
      <c r="S45" s="140">
        <f t="shared" ref="S45:S50" si="8">SUM(J45:R45)</f>
        <v>72773.512228638734</v>
      </c>
      <c r="T45" s="151" t="s">
        <v>330</v>
      </c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53" customFormat="1">
      <c r="A46" s="147">
        <v>28</v>
      </c>
      <c r="B46" s="148" t="s">
        <v>175</v>
      </c>
      <c r="C46" s="149">
        <v>33270.123717833361</v>
      </c>
      <c r="D46" s="150">
        <v>21.439059151438808</v>
      </c>
      <c r="E46" s="150">
        <v>0.24866571645917512</v>
      </c>
      <c r="F46" s="150">
        <v>0</v>
      </c>
      <c r="G46" s="150">
        <v>1.572526849837224</v>
      </c>
      <c r="H46" s="150">
        <v>7.9309998854843196</v>
      </c>
      <c r="I46" s="150">
        <v>31.19125160321952</v>
      </c>
      <c r="J46" s="149">
        <v>32716</v>
      </c>
      <c r="K46" s="149">
        <v>195.6904068578533</v>
      </c>
      <c r="L46" s="149">
        <v>5.9193564218757659</v>
      </c>
      <c r="M46" s="149">
        <v>33.640698872838513</v>
      </c>
      <c r="N46" s="149">
        <v>52.160665499697345</v>
      </c>
      <c r="O46" s="149">
        <v>248.31993227215469</v>
      </c>
      <c r="P46" s="149">
        <v>111.1784072504785</v>
      </c>
      <c r="Q46" s="149">
        <v>0</v>
      </c>
      <c r="R46" s="149">
        <v>79.471755525381582</v>
      </c>
      <c r="S46" s="140">
        <f t="shared" si="8"/>
        <v>33442.381222700278</v>
      </c>
      <c r="T46" s="151" t="s">
        <v>330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53" customFormat="1">
      <c r="A47" s="147">
        <v>29</v>
      </c>
      <c r="B47" s="148" t="s">
        <v>179</v>
      </c>
      <c r="C47" s="149">
        <v>117272.42659708476</v>
      </c>
      <c r="D47" s="150">
        <v>75.569616511525197</v>
      </c>
      <c r="E47" s="150">
        <v>0.87651107726536559</v>
      </c>
      <c r="F47" s="150">
        <v>0</v>
      </c>
      <c r="G47" s="150">
        <v>5.5429321854499651</v>
      </c>
      <c r="H47" s="150">
        <v>27.955640015050637</v>
      </c>
      <c r="I47" s="150">
        <v>109.94469978929114</v>
      </c>
      <c r="J47" s="149">
        <v>124879.5579358338</v>
      </c>
      <c r="K47" s="149">
        <v>689.7806893843964</v>
      </c>
      <c r="L47" s="149">
        <v>20.864884584553472</v>
      </c>
      <c r="M47" s="149">
        <v>118.57865100528407</v>
      </c>
      <c r="N47" s="149">
        <v>183.85888396289693</v>
      </c>
      <c r="O47" s="149">
        <v>875.29223747280264</v>
      </c>
      <c r="P47" s="149">
        <v>391.88798076136572</v>
      </c>
      <c r="Q47" s="149">
        <v>0</v>
      </c>
      <c r="R47" s="149">
        <v>280.12656927380698</v>
      </c>
      <c r="S47" s="140">
        <f t="shared" si="8"/>
        <v>127439.94783227892</v>
      </c>
      <c r="T47" s="151" t="s">
        <v>330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53" customFormat="1">
      <c r="A48" s="147">
        <v>30</v>
      </c>
      <c r="B48" s="148" t="s">
        <v>260</v>
      </c>
      <c r="C48" s="149">
        <v>15726.344034551017</v>
      </c>
      <c r="D48" s="150">
        <v>10.133957506502856</v>
      </c>
      <c r="E48" s="150">
        <v>0.11754096978421974</v>
      </c>
      <c r="F48" s="150">
        <v>0</v>
      </c>
      <c r="G48" s="150">
        <v>0.74331248220917112</v>
      </c>
      <c r="H48" s="150">
        <v>3.7488779361002509</v>
      </c>
      <c r="I48" s="150">
        <v>14.743688894596495</v>
      </c>
      <c r="J48" s="149">
        <v>38854</v>
      </c>
      <c r="K48" s="149">
        <v>92.50024702668216</v>
      </c>
      <c r="L48" s="149">
        <v>2.7980008834066781</v>
      </c>
      <c r="M48" s="149">
        <v>15.901509971043891</v>
      </c>
      <c r="N48" s="149">
        <v>24.655651348831121</v>
      </c>
      <c r="O48" s="149">
        <v>117.37752220786233</v>
      </c>
      <c r="P48" s="149">
        <v>52.552551245767013</v>
      </c>
      <c r="Q48" s="149">
        <v>0</v>
      </c>
      <c r="R48" s="149">
        <v>37.565239583162921</v>
      </c>
      <c r="S48" s="140">
        <f t="shared" si="8"/>
        <v>39197.350722266761</v>
      </c>
      <c r="T48" s="151" t="s">
        <v>330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53" customFormat="1">
      <c r="A49" s="147">
        <v>31</v>
      </c>
      <c r="B49" s="148" t="s">
        <v>271</v>
      </c>
      <c r="C49" s="149">
        <v>292998.11563793413</v>
      </c>
      <c r="D49" s="150">
        <v>188.80614889492369</v>
      </c>
      <c r="E49" s="150">
        <v>2.1899102920149849</v>
      </c>
      <c r="F49" s="150">
        <v>0</v>
      </c>
      <c r="G49" s="150">
        <v>13.848683212001243</v>
      </c>
      <c r="H49" s="150">
        <v>69.845487840070675</v>
      </c>
      <c r="I49" s="150">
        <v>274.69023023901053</v>
      </c>
      <c r="J49" s="149">
        <v>269384.96691941429</v>
      </c>
      <c r="K49" s="149">
        <v>1723.3756310631961</v>
      </c>
      <c r="L49" s="149">
        <v>52.129661197179637</v>
      </c>
      <c r="M49" s="149">
        <v>296.26163888298129</v>
      </c>
      <c r="N49" s="149">
        <v>459.36038084643445</v>
      </c>
      <c r="O49" s="149">
        <v>2186.8650939846548</v>
      </c>
      <c r="P49" s="149">
        <v>979.10858704009684</v>
      </c>
      <c r="Q49" s="149">
        <v>0</v>
      </c>
      <c r="R49" s="149">
        <v>699.87941171658997</v>
      </c>
      <c r="S49" s="140">
        <f t="shared" si="8"/>
        <v>275781.94732414541</v>
      </c>
      <c r="T49" s="151" t="s">
        <v>330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53" customFormat="1">
      <c r="A50" s="147"/>
      <c r="B50" s="148" t="s">
        <v>213</v>
      </c>
      <c r="C50" s="149">
        <v>14766.084218103293</v>
      </c>
      <c r="D50" s="150">
        <v>9.5151721007083623</v>
      </c>
      <c r="E50" s="150">
        <v>0.11036384903561437</v>
      </c>
      <c r="F50" s="150">
        <v>0</v>
      </c>
      <c r="G50" s="150">
        <v>0.6979253848544833</v>
      </c>
      <c r="H50" s="150">
        <v>3.5199692443601029</v>
      </c>
      <c r="I50" s="150">
        <v>13.843430578958561</v>
      </c>
      <c r="J50" s="149">
        <v>13550.9347751403</v>
      </c>
      <c r="K50" s="149">
        <v>86.852127537749269</v>
      </c>
      <c r="L50" s="149">
        <v>2.6271533037773813</v>
      </c>
      <c r="M50" s="149">
        <v>14.930554419487295</v>
      </c>
      <c r="N50" s="149">
        <v>23.150162775860093</v>
      </c>
      <c r="O50" s="149">
        <v>110.21038166440363</v>
      </c>
      <c r="P50" s="149">
        <v>49.343661557086065</v>
      </c>
      <c r="Q50" s="149">
        <v>0</v>
      </c>
      <c r="R50" s="149">
        <v>35.271483959625044</v>
      </c>
      <c r="S50" s="140">
        <f t="shared" si="8"/>
        <v>13873.320300358289</v>
      </c>
      <c r="T50" s="151" t="s">
        <v>330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53" customFormat="1" ht="44.25" customHeight="1">
      <c r="A51" s="147"/>
      <c r="B51" s="148"/>
      <c r="C51" s="154"/>
      <c r="D51" s="150">
        <f>+D50/5</f>
        <v>1.9030344201416725</v>
      </c>
      <c r="E51" s="150">
        <f t="shared" ref="E51:S51" si="9">+E50/5</f>
        <v>2.2072769807122875E-2</v>
      </c>
      <c r="F51" s="150">
        <f t="shared" si="9"/>
        <v>0</v>
      </c>
      <c r="G51" s="150">
        <f t="shared" si="9"/>
        <v>0.13958507697089667</v>
      </c>
      <c r="H51" s="150">
        <f t="shared" si="9"/>
        <v>0.70399384887202054</v>
      </c>
      <c r="I51" s="150">
        <f t="shared" si="9"/>
        <v>2.768686115791712</v>
      </c>
      <c r="J51" s="150">
        <f t="shared" si="9"/>
        <v>2710.1869550280599</v>
      </c>
      <c r="K51" s="150">
        <f t="shared" si="9"/>
        <v>17.370425507549854</v>
      </c>
      <c r="L51" s="150">
        <f t="shared" si="9"/>
        <v>0.52543066075547629</v>
      </c>
      <c r="M51" s="150">
        <f t="shared" si="9"/>
        <v>2.9861108838974593</v>
      </c>
      <c r="N51" s="150">
        <f t="shared" si="9"/>
        <v>4.6300325551720185</v>
      </c>
      <c r="O51" s="150">
        <f t="shared" si="9"/>
        <v>22.042076332880725</v>
      </c>
      <c r="P51" s="150">
        <f t="shared" si="9"/>
        <v>9.8687323114172134</v>
      </c>
      <c r="Q51" s="150">
        <f t="shared" si="9"/>
        <v>0</v>
      </c>
      <c r="R51" s="150">
        <f t="shared" si="9"/>
        <v>7.054296791925009</v>
      </c>
      <c r="S51" s="150">
        <f t="shared" si="9"/>
        <v>2774.6640600716578</v>
      </c>
      <c r="T51" s="151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60" customFormat="1">
      <c r="A52" s="155"/>
      <c r="B52" s="156" t="s">
        <v>341</v>
      </c>
      <c r="C52" s="157">
        <v>1460837.6300000001</v>
      </c>
      <c r="D52" s="158">
        <v>946.48536443296052</v>
      </c>
      <c r="E52" s="158">
        <v>103.23425641200002</v>
      </c>
      <c r="F52" s="158">
        <v>12.292330000000003</v>
      </c>
      <c r="G52" s="158">
        <v>59.802892282953408</v>
      </c>
      <c r="H52" s="158">
        <v>13.550951600000003</v>
      </c>
      <c r="I52" s="158">
        <v>1135.3657947279141</v>
      </c>
      <c r="J52" s="145">
        <f>SUM(J53:J56)</f>
        <v>1181193.8979261289</v>
      </c>
      <c r="K52" s="145">
        <f t="shared" ref="K52:R52" si="10">SUM(K53:K56)</f>
        <v>12047</v>
      </c>
      <c r="L52" s="145">
        <f t="shared" si="10"/>
        <v>722</v>
      </c>
      <c r="M52" s="145">
        <f t="shared" si="10"/>
        <v>11925</v>
      </c>
      <c r="N52" s="145">
        <f t="shared" si="10"/>
        <v>5383.9999999999991</v>
      </c>
      <c r="O52" s="145">
        <f t="shared" si="10"/>
        <v>4116</v>
      </c>
      <c r="P52" s="145">
        <f t="shared" si="10"/>
        <v>1874.9999999999998</v>
      </c>
      <c r="Q52" s="145">
        <f t="shared" si="10"/>
        <v>0</v>
      </c>
      <c r="R52" s="145">
        <f t="shared" si="10"/>
        <v>476</v>
      </c>
      <c r="S52" s="145">
        <f>SUM(S53:S56)</f>
        <v>1217738.8979261289</v>
      </c>
      <c r="T52" s="151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</row>
    <row r="53" spans="1:32" s="153" customFormat="1">
      <c r="A53" s="147">
        <v>32</v>
      </c>
      <c r="B53" s="148" t="s">
        <v>96</v>
      </c>
      <c r="C53" s="149">
        <v>764632.1603146462</v>
      </c>
      <c r="D53" s="150">
        <v>495.40971155881971</v>
      </c>
      <c r="E53" s="150">
        <v>54.034911805211152</v>
      </c>
      <c r="F53" s="150">
        <v>6.4340558116650763</v>
      </c>
      <c r="G53" s="150">
        <v>31.302051494510543</v>
      </c>
      <c r="H53" s="150">
        <v>7.0928439844660991</v>
      </c>
      <c r="I53" s="150">
        <v>594.27357465467264</v>
      </c>
      <c r="J53" s="149">
        <v>632489.96931651712</v>
      </c>
      <c r="K53" s="149">
        <v>6305.6450943904983</v>
      </c>
      <c r="L53" s="149">
        <v>377.90950096704074</v>
      </c>
      <c r="M53" s="149">
        <v>6241.7878102935747</v>
      </c>
      <c r="N53" s="149">
        <v>2818.0952260478493</v>
      </c>
      <c r="O53" s="149">
        <v>2154.3982077290025</v>
      </c>
      <c r="P53" s="149">
        <v>981.41317771911542</v>
      </c>
      <c r="Q53" s="149">
        <v>0</v>
      </c>
      <c r="R53" s="149">
        <v>249.14809205029277</v>
      </c>
      <c r="S53" s="140">
        <f>SUM(J53:R53)</f>
        <v>651618.36642571446</v>
      </c>
      <c r="T53" s="151" t="s">
        <v>330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53" customFormat="1">
      <c r="A54" s="147">
        <v>33</v>
      </c>
      <c r="B54" s="148" t="s">
        <v>123</v>
      </c>
      <c r="C54" s="149">
        <v>251976.63195949746</v>
      </c>
      <c r="D54" s="150">
        <v>163.25715427304192</v>
      </c>
      <c r="E54" s="150">
        <v>17.806647158684513</v>
      </c>
      <c r="F54" s="150">
        <v>2.1202766472648227</v>
      </c>
      <c r="G54" s="150">
        <v>10.31526780898656</v>
      </c>
      <c r="H54" s="150">
        <v>2.3373734862061051</v>
      </c>
      <c r="I54" s="150">
        <v>195.83671937418396</v>
      </c>
      <c r="J54" s="149">
        <v>242165.76398422607</v>
      </c>
      <c r="K54" s="149">
        <v>2077.9602215039226</v>
      </c>
      <c r="L54" s="149">
        <v>124.53617331500227</v>
      </c>
      <c r="M54" s="149">
        <v>2056.9167129936318</v>
      </c>
      <c r="N54" s="149">
        <v>928.67417884760687</v>
      </c>
      <c r="O54" s="149">
        <v>709.95968056031768</v>
      </c>
      <c r="P54" s="149">
        <v>323.41457751472194</v>
      </c>
      <c r="Q54" s="149">
        <v>0</v>
      </c>
      <c r="R54" s="149">
        <v>82.104180745070735</v>
      </c>
      <c r="S54" s="140">
        <f>SUM(J54:R54)</f>
        <v>248469.32970970633</v>
      </c>
      <c r="T54" s="151" t="s">
        <v>330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53" customFormat="1">
      <c r="A55" s="147">
        <v>34</v>
      </c>
      <c r="B55" s="148" t="s">
        <v>250</v>
      </c>
      <c r="C55" s="149">
        <v>171647.85012736308</v>
      </c>
      <c r="D55" s="150">
        <v>111.21166010895504</v>
      </c>
      <c r="E55" s="150">
        <v>12.129984748966763</v>
      </c>
      <c r="F55" s="150">
        <v>1.4443439669308691</v>
      </c>
      <c r="G55" s="150">
        <v>7.0268164517142289</v>
      </c>
      <c r="H55" s="150">
        <v>1.5922315126287865</v>
      </c>
      <c r="I55" s="150">
        <v>133.40503678919572</v>
      </c>
      <c r="J55" s="149">
        <v>112542.68948063381</v>
      </c>
      <c r="K55" s="149">
        <v>1415.5177878901866</v>
      </c>
      <c r="L55" s="149">
        <v>84.83471759414914</v>
      </c>
      <c r="M55" s="149">
        <v>1401.1828356097349</v>
      </c>
      <c r="N55" s="149">
        <v>632.61789408157756</v>
      </c>
      <c r="O55" s="149">
        <v>483.62839005196383</v>
      </c>
      <c r="P55" s="149">
        <v>220.3117666053042</v>
      </c>
      <c r="Q55" s="149">
        <v>0</v>
      </c>
      <c r="R55" s="149">
        <v>55.92981381553323</v>
      </c>
      <c r="S55" s="140">
        <f>SUM(J55:R55)</f>
        <v>116836.71268628225</v>
      </c>
      <c r="T55" s="151" t="s">
        <v>330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53" customFormat="1">
      <c r="A56" s="147">
        <v>35</v>
      </c>
      <c r="B56" s="148" t="s">
        <v>210</v>
      </c>
      <c r="C56" s="149">
        <v>272580.9875984934</v>
      </c>
      <c r="D56" s="150">
        <v>176.60683849214394</v>
      </c>
      <c r="E56" s="150">
        <v>19.262712699137591</v>
      </c>
      <c r="F56" s="150">
        <v>2.2936535741392348</v>
      </c>
      <c r="G56" s="150">
        <v>11.158756527742073</v>
      </c>
      <c r="H56" s="150">
        <v>2.5285026166990132</v>
      </c>
      <c r="I56" s="150">
        <v>211.85046390986187</v>
      </c>
      <c r="J56" s="149">
        <v>193995.47514475189</v>
      </c>
      <c r="K56" s="149">
        <v>2247.8768962153922</v>
      </c>
      <c r="L56" s="149">
        <v>134.71960812380786</v>
      </c>
      <c r="M56" s="149">
        <v>2225.1126411030591</v>
      </c>
      <c r="N56" s="149">
        <v>1004.612701022966</v>
      </c>
      <c r="O56" s="149">
        <v>768.01372165871635</v>
      </c>
      <c r="P56" s="149">
        <v>349.86047816085835</v>
      </c>
      <c r="Q56" s="149">
        <v>0</v>
      </c>
      <c r="R56" s="149">
        <v>88.817913389103239</v>
      </c>
      <c r="S56" s="140">
        <f>SUM(J56:R56)</f>
        <v>200814.4891044258</v>
      </c>
      <c r="T56" s="151" t="s">
        <v>330</v>
      </c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53" customFormat="1" ht="9.75" customHeight="1">
      <c r="A57" s="147"/>
      <c r="B57" s="148"/>
      <c r="C57" s="154"/>
      <c r="D57" s="150"/>
      <c r="E57" s="150"/>
      <c r="F57" s="150"/>
      <c r="G57" s="150"/>
      <c r="H57" s="150"/>
      <c r="I57" s="150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51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</row>
    <row r="58" spans="1:32" s="160" customFormat="1">
      <c r="A58" s="155"/>
      <c r="B58" s="196" t="s">
        <v>342</v>
      </c>
      <c r="C58" s="157">
        <v>1876209.4</v>
      </c>
      <c r="D58" s="158">
        <v>1264.4403626207941</v>
      </c>
      <c r="E58" s="158">
        <v>99.454022000000023</v>
      </c>
      <c r="F58" s="158">
        <v>212.98429999999999</v>
      </c>
      <c r="G58" s="158">
        <v>53.049999999999983</v>
      </c>
      <c r="H58" s="158">
        <v>523.9815812467167</v>
      </c>
      <c r="I58" s="158">
        <v>2153.910265867511</v>
      </c>
      <c r="J58" s="145">
        <f>SUM(J59:J66)</f>
        <v>869984.99999999988</v>
      </c>
      <c r="K58" s="145">
        <f t="shared" ref="K58:S58" si="11">SUM(K59:K66)</f>
        <v>37417</v>
      </c>
      <c r="L58" s="145">
        <f t="shared" si="11"/>
        <v>4538</v>
      </c>
      <c r="M58" s="145">
        <f t="shared" si="11"/>
        <v>1140.0000000000002</v>
      </c>
      <c r="N58" s="145">
        <f t="shared" si="11"/>
        <v>309931</v>
      </c>
      <c r="O58" s="145">
        <f t="shared" si="11"/>
        <v>135627</v>
      </c>
      <c r="P58" s="145">
        <f t="shared" si="11"/>
        <v>68832</v>
      </c>
      <c r="Q58" s="145">
        <f t="shared" si="11"/>
        <v>61266</v>
      </c>
      <c r="R58" s="145">
        <f t="shared" si="11"/>
        <v>22919</v>
      </c>
      <c r="S58" s="145">
        <f t="shared" si="11"/>
        <v>1511655</v>
      </c>
      <c r="T58" s="151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</row>
    <row r="59" spans="1:32" s="153" customFormat="1">
      <c r="A59" s="147">
        <v>36</v>
      </c>
      <c r="B59" s="148" t="s">
        <v>132</v>
      </c>
      <c r="C59" s="149">
        <v>300359.46009943285</v>
      </c>
      <c r="D59" s="150">
        <v>202.42230139381712</v>
      </c>
      <c r="E59" s="150">
        <v>15.92144051332283</v>
      </c>
      <c r="F59" s="150">
        <v>34.096327071837308</v>
      </c>
      <c r="G59" s="150">
        <v>8.4926924245635416</v>
      </c>
      <c r="H59" s="150">
        <v>83.883400672286854</v>
      </c>
      <c r="I59" s="150">
        <v>344.81616207582766</v>
      </c>
      <c r="J59" s="149">
        <v>336953.61023524619</v>
      </c>
      <c r="K59" s="149">
        <v>5990.0296409028115</v>
      </c>
      <c r="L59" s="149">
        <v>726.48139910781083</v>
      </c>
      <c r="M59" s="149">
        <v>182.50083626771803</v>
      </c>
      <c r="N59" s="149">
        <v>49616.374285342208</v>
      </c>
      <c r="O59" s="149">
        <v>21712.31659691385</v>
      </c>
      <c r="P59" s="149">
        <v>11019.208387701374</v>
      </c>
      <c r="Q59" s="149">
        <v>9807.9791533140451</v>
      </c>
      <c r="R59" s="149">
        <v>3669.0672512454644</v>
      </c>
      <c r="S59" s="140">
        <f t="shared" ref="S59:S66" si="12">SUM(J59:R59)</f>
        <v>439677.56778604147</v>
      </c>
      <c r="T59" s="151" t="s">
        <v>348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53" customFormat="1">
      <c r="A60" s="147">
        <v>37</v>
      </c>
      <c r="B60" s="148" t="s">
        <v>85</v>
      </c>
      <c r="C60" s="149">
        <v>412547.5080330217</v>
      </c>
      <c r="D60" s="150">
        <v>278.0295848936579</v>
      </c>
      <c r="E60" s="150">
        <v>21.868299423274031</v>
      </c>
      <c r="F60" s="150">
        <v>46.831735420980998</v>
      </c>
      <c r="G60" s="150">
        <v>11.664820196056898</v>
      </c>
      <c r="H60" s="150">
        <v>115.21490916660754</v>
      </c>
      <c r="I60" s="150">
        <v>473.60934910057739</v>
      </c>
      <c r="J60" s="149">
        <v>277018.70039369422</v>
      </c>
      <c r="K60" s="149">
        <v>8227.3812870096335</v>
      </c>
      <c r="L60" s="149">
        <v>997.83136757221905</v>
      </c>
      <c r="M60" s="149">
        <v>250.66720119707574</v>
      </c>
      <c r="N60" s="149">
        <v>68148.716082641127</v>
      </c>
      <c r="O60" s="149">
        <v>29822.140786627886</v>
      </c>
      <c r="P60" s="149">
        <v>15135.021748067646</v>
      </c>
      <c r="Q60" s="149">
        <v>13471.383112754424</v>
      </c>
      <c r="R60" s="149">
        <v>5039.510161610332</v>
      </c>
      <c r="S60" s="140">
        <f t="shared" si="12"/>
        <v>418111.35214117455</v>
      </c>
      <c r="T60" s="151" t="s">
        <v>348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53" customFormat="1">
      <c r="A61" s="147">
        <v>38</v>
      </c>
      <c r="B61" s="148" t="s">
        <v>51</v>
      </c>
      <c r="C61" s="149">
        <v>454175.46842482913</v>
      </c>
      <c r="D61" s="150">
        <v>306.08406182623321</v>
      </c>
      <c r="E61" s="150">
        <v>24.074912442386903</v>
      </c>
      <c r="F61" s="150">
        <v>51.557275120588528</v>
      </c>
      <c r="G61" s="150">
        <v>12.84185475242645</v>
      </c>
      <c r="H61" s="150">
        <v>126.84062882784309</v>
      </c>
      <c r="I61" s="150">
        <v>521.39873296947826</v>
      </c>
      <c r="J61" s="149">
        <v>137929.66250949714</v>
      </c>
      <c r="K61" s="149">
        <v>9057.5622859856849</v>
      </c>
      <c r="L61" s="149">
        <v>1098.5171888126531</v>
      </c>
      <c r="M61" s="149">
        <v>275.96068648004069</v>
      </c>
      <c r="N61" s="149">
        <v>75025.238176706567</v>
      </c>
      <c r="O61" s="149">
        <v>32831.333355463576</v>
      </c>
      <c r="P61" s="149">
        <v>16662.215764731718</v>
      </c>
      <c r="Q61" s="149">
        <v>14830.70826130366</v>
      </c>
      <c r="R61" s="149">
        <v>5548.0201521368881</v>
      </c>
      <c r="S61" s="140">
        <f t="shared" si="12"/>
        <v>293259.21838111797</v>
      </c>
      <c r="T61" s="151" t="s">
        <v>348</v>
      </c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53" customFormat="1">
      <c r="A62" s="147">
        <v>39</v>
      </c>
      <c r="B62" s="148" t="s">
        <v>229</v>
      </c>
      <c r="C62" s="149">
        <v>87366.496225687588</v>
      </c>
      <c r="D62" s="150">
        <v>58.879208348767811</v>
      </c>
      <c r="E62" s="150">
        <v>4.6311192331156912</v>
      </c>
      <c r="F62" s="150">
        <v>9.9177053702431692</v>
      </c>
      <c r="G62" s="150">
        <v>2.4702960260047333</v>
      </c>
      <c r="H62" s="150">
        <v>24.399427292242052</v>
      </c>
      <c r="I62" s="150">
        <v>100.29775627037347</v>
      </c>
      <c r="J62" s="149">
        <v>50314.000000000007</v>
      </c>
      <c r="K62" s="149">
        <v>1742.3386692746301</v>
      </c>
      <c r="L62" s="149">
        <v>211.31391830366604</v>
      </c>
      <c r="M62" s="149">
        <v>53.084589437236509</v>
      </c>
      <c r="N62" s="149">
        <v>14432.070077958026</v>
      </c>
      <c r="O62" s="149">
        <v>6315.5294838632244</v>
      </c>
      <c r="P62" s="149">
        <v>3205.1916317051432</v>
      </c>
      <c r="Q62" s="149">
        <v>2852.8775933874845</v>
      </c>
      <c r="R62" s="149">
        <v>1067.2330748351085</v>
      </c>
      <c r="S62" s="140">
        <f t="shared" si="12"/>
        <v>80193.639038764522</v>
      </c>
      <c r="T62" s="151" t="s">
        <v>348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53" customFormat="1">
      <c r="A63" s="147">
        <v>40</v>
      </c>
      <c r="B63" s="148" t="s">
        <v>56</v>
      </c>
      <c r="C63" s="149">
        <v>95530.156544209836</v>
      </c>
      <c r="D63" s="150">
        <v>64.380972498049474</v>
      </c>
      <c r="E63" s="150">
        <v>5.0638581656244179</v>
      </c>
      <c r="F63" s="150">
        <v>10.844431074942355</v>
      </c>
      <c r="G63" s="150">
        <v>2.7011243013015127</v>
      </c>
      <c r="H63" s="150">
        <v>26.679347455983027</v>
      </c>
      <c r="I63" s="150">
        <v>109.6697334959008</v>
      </c>
      <c r="J63" s="149">
        <v>44133.026861562423</v>
      </c>
      <c r="K63" s="149">
        <v>1905.1454850480438</v>
      </c>
      <c r="L63" s="149">
        <v>231.05941714055172</v>
      </c>
      <c r="M63" s="149">
        <v>58.044895447384079</v>
      </c>
      <c r="N63" s="149">
        <v>15780.624992020348</v>
      </c>
      <c r="O63" s="149">
        <v>6905.6623112652287</v>
      </c>
      <c r="P63" s="149">
        <v>3504.6896872231059</v>
      </c>
      <c r="Q63" s="149">
        <v>3119.4548811223094</v>
      </c>
      <c r="R63" s="149">
        <v>1166.9569813671892</v>
      </c>
      <c r="S63" s="140">
        <f t="shared" si="12"/>
        <v>76804.665512196574</v>
      </c>
      <c r="T63" s="151" t="s">
        <v>348</v>
      </c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53" customFormat="1">
      <c r="A64" s="147">
        <v>41</v>
      </c>
      <c r="B64" s="148" t="s">
        <v>49</v>
      </c>
      <c r="C64" s="149">
        <v>133953.01790251289</v>
      </c>
      <c r="D64" s="150">
        <v>90.275425829762455</v>
      </c>
      <c r="E64" s="150">
        <v>7.1005754418685418</v>
      </c>
      <c r="F64" s="150">
        <v>15.206133041895098</v>
      </c>
      <c r="G64" s="150">
        <v>3.7875343763485603</v>
      </c>
      <c r="H64" s="150">
        <v>37.409957616313214</v>
      </c>
      <c r="I64" s="150">
        <v>153.77962630618788</v>
      </c>
      <c r="J64" s="149">
        <v>2100</v>
      </c>
      <c r="K64" s="149">
        <v>2671.4076109299554</v>
      </c>
      <c r="L64" s="149">
        <v>323.99304429537744</v>
      </c>
      <c r="M64" s="149">
        <v>81.390936645379085</v>
      </c>
      <c r="N64" s="149">
        <v>22127.696829332443</v>
      </c>
      <c r="O64" s="149">
        <v>9683.1654073709014</v>
      </c>
      <c r="P64" s="149">
        <v>4914.2990799778354</v>
      </c>
      <c r="Q64" s="149">
        <v>4374.1202846629776</v>
      </c>
      <c r="R64" s="149">
        <v>1636.3148043644237</v>
      </c>
      <c r="S64" s="140">
        <f t="shared" si="12"/>
        <v>47912.387997579288</v>
      </c>
      <c r="T64" s="151" t="s">
        <v>348</v>
      </c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53" customFormat="1">
      <c r="A65" s="147">
        <v>42</v>
      </c>
      <c r="B65" s="148" t="s">
        <v>189</v>
      </c>
      <c r="C65" s="149">
        <v>275475.62694543961</v>
      </c>
      <c r="D65" s="150">
        <v>185.65225268996215</v>
      </c>
      <c r="E65" s="150">
        <v>14.602399424443533</v>
      </c>
      <c r="F65" s="150">
        <v>31.271554002466672</v>
      </c>
      <c r="G65" s="150">
        <v>7.7890996652375621</v>
      </c>
      <c r="H65" s="150">
        <v>76.933925713090488</v>
      </c>
      <c r="I65" s="150">
        <v>316.24923149520043</v>
      </c>
      <c r="J65" s="149">
        <v>4793</v>
      </c>
      <c r="K65" s="149">
        <v>5493.7745932930056</v>
      </c>
      <c r="L65" s="149">
        <v>666.29470840429917</v>
      </c>
      <c r="M65" s="149">
        <v>167.38121806542551</v>
      </c>
      <c r="N65" s="149">
        <v>45505.814294943331</v>
      </c>
      <c r="O65" s="149">
        <v>19913.519703999533</v>
      </c>
      <c r="P65" s="149">
        <v>10106.301756034534</v>
      </c>
      <c r="Q65" s="149">
        <v>8995.4190403476841</v>
      </c>
      <c r="R65" s="149">
        <v>3365.0966112644624</v>
      </c>
      <c r="S65" s="140">
        <f t="shared" si="12"/>
        <v>99006.601926352276</v>
      </c>
      <c r="T65" s="151" t="s">
        <v>348</v>
      </c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53" customFormat="1">
      <c r="A66" s="147">
        <v>43</v>
      </c>
      <c r="B66" s="148" t="s">
        <v>81</v>
      </c>
      <c r="C66" s="149">
        <v>116801.66582486639</v>
      </c>
      <c r="D66" s="150">
        <v>78.716555140543946</v>
      </c>
      <c r="E66" s="150">
        <v>6.1914173559640577</v>
      </c>
      <c r="F66" s="150">
        <v>13.259138897045869</v>
      </c>
      <c r="G66" s="150">
        <v>3.3025782580607261</v>
      </c>
      <c r="H66" s="150">
        <v>32.619984502350363</v>
      </c>
      <c r="I66" s="150">
        <v>134.08967415396498</v>
      </c>
      <c r="J66" s="149">
        <v>16743</v>
      </c>
      <c r="K66" s="149">
        <v>2329.3604275562343</v>
      </c>
      <c r="L66" s="149">
        <v>282.50895636342284</v>
      </c>
      <c r="M66" s="149">
        <v>70.969636459740414</v>
      </c>
      <c r="N66" s="149">
        <v>19294.465261055971</v>
      </c>
      <c r="O66" s="149">
        <v>8443.3323544958002</v>
      </c>
      <c r="P66" s="149">
        <v>4285.0719445586419</v>
      </c>
      <c r="Q66" s="149">
        <v>3814.0576731074175</v>
      </c>
      <c r="R66" s="149">
        <v>1426.800963176132</v>
      </c>
      <c r="S66" s="140">
        <f t="shared" si="12"/>
        <v>56689.567216773357</v>
      </c>
      <c r="T66" s="151" t="s">
        <v>348</v>
      </c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</row>
    <row r="67" spans="1:32" s="153" customFormat="1" ht="9.75" customHeight="1">
      <c r="A67" s="147"/>
      <c r="B67" s="148"/>
      <c r="C67" s="154"/>
      <c r="D67" s="150"/>
      <c r="E67" s="150"/>
      <c r="F67" s="150"/>
      <c r="G67" s="150"/>
      <c r="H67" s="150"/>
      <c r="I67" s="150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51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</row>
    <row r="68" spans="1:32" s="160" customFormat="1">
      <c r="A68" s="155"/>
      <c r="B68" s="196" t="s">
        <v>26</v>
      </c>
      <c r="C68" s="157">
        <v>2272471.5</v>
      </c>
      <c r="D68" s="158">
        <v>2743.9759999999997</v>
      </c>
      <c r="E68" s="158">
        <v>21.965</v>
      </c>
      <c r="F68" s="158">
        <v>14.847999999999999</v>
      </c>
      <c r="G68" s="158">
        <v>193.49000000000004</v>
      </c>
      <c r="H68" s="158">
        <v>1.0799999999999998</v>
      </c>
      <c r="I68" s="158">
        <v>2975.3589999999999</v>
      </c>
      <c r="J68" s="145">
        <f>SUM(J69:J76)</f>
        <v>1895221</v>
      </c>
      <c r="K68" s="145">
        <f t="shared" ref="K68:S68" si="13">SUM(K69:K76)</f>
        <v>15694</v>
      </c>
      <c r="L68" s="145">
        <f t="shared" si="13"/>
        <v>3846</v>
      </c>
      <c r="M68" s="145">
        <f t="shared" si="13"/>
        <v>73769</v>
      </c>
      <c r="N68" s="145">
        <f t="shared" si="13"/>
        <v>44037</v>
      </c>
      <c r="O68" s="145">
        <f t="shared" si="13"/>
        <v>4270</v>
      </c>
      <c r="P68" s="145">
        <f t="shared" si="13"/>
        <v>5900.9999999999991</v>
      </c>
      <c r="Q68" s="145">
        <f t="shared" si="13"/>
        <v>15</v>
      </c>
      <c r="R68" s="145">
        <f t="shared" si="13"/>
        <v>48768</v>
      </c>
      <c r="S68" s="145">
        <f t="shared" si="13"/>
        <v>2091521</v>
      </c>
      <c r="T68" s="151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</row>
    <row r="69" spans="1:32" s="153" customFormat="1" ht="48">
      <c r="A69" s="147">
        <v>44</v>
      </c>
      <c r="B69" s="148" t="s">
        <v>165</v>
      </c>
      <c r="C69" s="149">
        <v>102782.48388502294</v>
      </c>
      <c r="D69" s="150">
        <v>124.10834151314533</v>
      </c>
      <c r="E69" s="150">
        <v>0.9934633981260178</v>
      </c>
      <c r="F69" s="150">
        <v>0.67156587914295984</v>
      </c>
      <c r="G69" s="150">
        <v>8.7514333213477453</v>
      </c>
      <c r="H69" s="150">
        <v>4.8847733666109693E-2</v>
      </c>
      <c r="I69" s="150">
        <v>134.57365184542817</v>
      </c>
      <c r="J69" s="149">
        <v>80374</v>
      </c>
      <c r="K69" s="149">
        <v>709.82993718141245</v>
      </c>
      <c r="L69" s="149">
        <v>173.95220711097949</v>
      </c>
      <c r="M69" s="149">
        <v>3336.5263563104122</v>
      </c>
      <c r="N69" s="149">
        <v>1991.7663402356225</v>
      </c>
      <c r="O69" s="149">
        <v>193.12946551322995</v>
      </c>
      <c r="P69" s="149">
        <v>266.89858922566043</v>
      </c>
      <c r="Q69" s="149">
        <v>0.67844074536263455</v>
      </c>
      <c r="R69" s="149">
        <v>2205.7465513229972</v>
      </c>
      <c r="S69" s="149">
        <f t="shared" ref="S69:S76" si="14">SUM(J69:R69)</f>
        <v>89252.527887645687</v>
      </c>
      <c r="T69" s="151" t="s">
        <v>352</v>
      </c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</row>
    <row r="70" spans="1:32" s="153" customFormat="1" ht="48">
      <c r="A70" s="147">
        <v>45</v>
      </c>
      <c r="B70" s="148" t="s">
        <v>198</v>
      </c>
      <c r="C70" s="149">
        <v>602227.29778760124</v>
      </c>
      <c r="D70" s="150">
        <v>727.18062764440845</v>
      </c>
      <c r="E70" s="150">
        <v>5.8209410309016691</v>
      </c>
      <c r="F70" s="150">
        <v>3.934866033545549</v>
      </c>
      <c r="G70" s="150">
        <v>51.276753019310902</v>
      </c>
      <c r="H70" s="150">
        <v>0.28621062205207387</v>
      </c>
      <c r="I70" s="150">
        <v>788.49939835021883</v>
      </c>
      <c r="J70" s="149">
        <v>481313.33930409222</v>
      </c>
      <c r="K70" s="149">
        <v>4159.0643541530062</v>
      </c>
      <c r="L70" s="149">
        <v>1019.227826307663</v>
      </c>
      <c r="M70" s="149">
        <v>19549.510535332811</v>
      </c>
      <c r="N70" s="149">
        <v>11670.238114173311</v>
      </c>
      <c r="O70" s="149">
        <v>1131.5919964466252</v>
      </c>
      <c r="P70" s="149">
        <v>1563.8230377123034</v>
      </c>
      <c r="Q70" s="149">
        <v>3.9751475285010258</v>
      </c>
      <c r="R70" s="149">
        <v>12923.999644662536</v>
      </c>
      <c r="S70" s="149">
        <f t="shared" si="14"/>
        <v>533334.76996040891</v>
      </c>
      <c r="T70" s="151" t="s">
        <v>352</v>
      </c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</row>
    <row r="71" spans="1:32" s="153" customFormat="1" ht="48">
      <c r="A71" s="147">
        <v>46</v>
      </c>
      <c r="B71" s="148" t="s">
        <v>231</v>
      </c>
      <c r="C71" s="149">
        <v>401632.26493792172</v>
      </c>
      <c r="D71" s="150">
        <v>484.96506812749834</v>
      </c>
      <c r="E71" s="150">
        <v>3.8820520738594304</v>
      </c>
      <c r="F71" s="150">
        <v>2.6242071109795049</v>
      </c>
      <c r="G71" s="150">
        <v>34.197052391125027</v>
      </c>
      <c r="H71" s="150">
        <v>0.19087713361111702</v>
      </c>
      <c r="I71" s="150">
        <v>525.85925683707353</v>
      </c>
      <c r="J71" s="149">
        <v>341797.78701795667</v>
      </c>
      <c r="K71" s="149">
        <v>2773.7275323082131</v>
      </c>
      <c r="L71" s="149">
        <v>679.73468135958888</v>
      </c>
      <c r="M71" s="149">
        <v>13037.791916072676</v>
      </c>
      <c r="N71" s="149">
        <v>7783.0151229932953</v>
      </c>
      <c r="O71" s="149">
        <v>754.67163011061996</v>
      </c>
      <c r="P71" s="149">
        <v>1042.931449480742</v>
      </c>
      <c r="Q71" s="149">
        <v>2.6510713001544026</v>
      </c>
      <c r="R71" s="149">
        <v>8619.1630110619935</v>
      </c>
      <c r="S71" s="149">
        <f t="shared" si="14"/>
        <v>376491.47343264392</v>
      </c>
      <c r="T71" s="151" t="s">
        <v>352</v>
      </c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</row>
    <row r="72" spans="1:32" s="153" customFormat="1" ht="48">
      <c r="A72" s="147">
        <v>47</v>
      </c>
      <c r="B72" s="148" t="s">
        <v>137</v>
      </c>
      <c r="C72" s="149">
        <v>718285.3718564267</v>
      </c>
      <c r="D72" s="150">
        <v>867.31904955688537</v>
      </c>
      <c r="E72" s="150">
        <v>6.9427221387931217</v>
      </c>
      <c r="F72" s="150">
        <v>4.6931726982381186</v>
      </c>
      <c r="G72" s="150">
        <v>61.158538886186257</v>
      </c>
      <c r="H72" s="150">
        <v>0.34136762621882866</v>
      </c>
      <c r="I72" s="150">
        <v>940.45485090632189</v>
      </c>
      <c r="J72" s="149">
        <v>472555.66944483481</v>
      </c>
      <c r="K72" s="149">
        <v>4960.5773387762001</v>
      </c>
      <c r="L72" s="149">
        <v>1215.6480467014953</v>
      </c>
      <c r="M72" s="149">
        <v>23316.989276422933</v>
      </c>
      <c r="N72" s="149">
        <v>13919.264959072738</v>
      </c>
      <c r="O72" s="149">
        <v>1349.6664481059242</v>
      </c>
      <c r="P72" s="149">
        <v>1865.1947799234331</v>
      </c>
      <c r="Q72" s="149">
        <v>4.7412170308170642</v>
      </c>
      <c r="R72" s="149">
        <v>15414.644810592439</v>
      </c>
      <c r="S72" s="149">
        <f t="shared" si="14"/>
        <v>534602.39632146084</v>
      </c>
      <c r="T72" s="151" t="s">
        <v>352</v>
      </c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</row>
    <row r="73" spans="1:32" s="153" customFormat="1" ht="48">
      <c r="A73" s="147"/>
      <c r="B73" s="148" t="s">
        <v>109</v>
      </c>
      <c r="C73" s="149">
        <v>86517.242327460393</v>
      </c>
      <c r="D73" s="150">
        <v>104.46830093699103</v>
      </c>
      <c r="E73" s="150">
        <v>0.83624865162122719</v>
      </c>
      <c r="F73" s="150">
        <v>0.56529114405973058</v>
      </c>
      <c r="G73" s="150">
        <v>7.366526364770829</v>
      </c>
      <c r="H73" s="150">
        <v>4.1117620931068764E-2</v>
      </c>
      <c r="I73" s="150">
        <v>113.27748471837388</v>
      </c>
      <c r="J73" s="149">
        <v>114065.62972494013</v>
      </c>
      <c r="K73" s="149">
        <v>597.49994712240107</v>
      </c>
      <c r="L73" s="149">
        <v>146.42441676008377</v>
      </c>
      <c r="M73" s="149">
        <v>2808.5238689481589</v>
      </c>
      <c r="N73" s="149">
        <v>1676.5709934643287</v>
      </c>
      <c r="O73" s="149">
        <v>162.56689016265148</v>
      </c>
      <c r="P73" s="149">
        <v>224.66211214281182</v>
      </c>
      <c r="Q73" s="149">
        <v>0.5710780684870661</v>
      </c>
      <c r="R73" s="149">
        <v>1856.6890162651493</v>
      </c>
      <c r="S73" s="149">
        <f t="shared" si="14"/>
        <v>121539.13804787421</v>
      </c>
      <c r="T73" s="151" t="s">
        <v>352</v>
      </c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</row>
    <row r="74" spans="1:32" s="153" customFormat="1" ht="48">
      <c r="A74" s="147"/>
      <c r="B74" s="148" t="s">
        <v>235</v>
      </c>
      <c r="C74" s="149">
        <v>151885.82541931936</v>
      </c>
      <c r="D74" s="150">
        <v>183.39990608938425</v>
      </c>
      <c r="E74" s="150">
        <v>1.4680809661794878</v>
      </c>
      <c r="F74" s="150">
        <v>0.99240000846041587</v>
      </c>
      <c r="G74" s="150">
        <v>12.9323462848199</v>
      </c>
      <c r="H74" s="150">
        <v>7.2184267856765169E-2</v>
      </c>
      <c r="I74" s="150">
        <v>198.86491761670084</v>
      </c>
      <c r="J74" s="149">
        <v>165083.94215442118</v>
      </c>
      <c r="K74" s="149">
        <v>1048.9443516148817</v>
      </c>
      <c r="L74" s="149">
        <v>257.05619831214705</v>
      </c>
      <c r="M74" s="149">
        <v>4930.5196810423231</v>
      </c>
      <c r="N74" s="149">
        <v>2943.3135218595994</v>
      </c>
      <c r="O74" s="149">
        <v>285.39520717443258</v>
      </c>
      <c r="P74" s="149">
        <v>394.40681909515854</v>
      </c>
      <c r="Q74" s="149">
        <v>1.002559275788405</v>
      </c>
      <c r="R74" s="149">
        <v>3259.5207174432621</v>
      </c>
      <c r="S74" s="149">
        <f t="shared" si="14"/>
        <v>178204.10121023879</v>
      </c>
      <c r="T74" s="151" t="s">
        <v>352</v>
      </c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</row>
    <row r="75" spans="1:32" s="153" customFormat="1" ht="48">
      <c r="A75" s="147"/>
      <c r="B75" s="148" t="s">
        <v>58</v>
      </c>
      <c r="C75" s="149">
        <v>150059.35030351742</v>
      </c>
      <c r="D75" s="150">
        <v>181.19446418071445</v>
      </c>
      <c r="E75" s="150">
        <v>1.4504268279785952</v>
      </c>
      <c r="F75" s="150">
        <v>0.98046608430804383</v>
      </c>
      <c r="G75" s="150">
        <v>12.776830728230294</v>
      </c>
      <c r="H75" s="150">
        <v>7.1316229192664823E-2</v>
      </c>
      <c r="I75" s="150">
        <v>196.47350405042405</v>
      </c>
      <c r="J75" s="149">
        <v>213826.18922325861</v>
      </c>
      <c r="K75" s="149">
        <v>1036.3304638422978</v>
      </c>
      <c r="L75" s="149">
        <v>253.96501618054529</v>
      </c>
      <c r="M75" s="149">
        <v>4871.2286215867507</v>
      </c>
      <c r="N75" s="149">
        <v>2907.9192453309079</v>
      </c>
      <c r="O75" s="149">
        <v>281.96323949322107</v>
      </c>
      <c r="P75" s="149">
        <v>389.66395228325473</v>
      </c>
      <c r="Q75" s="149">
        <v>0.99050318323145581</v>
      </c>
      <c r="R75" s="149">
        <v>3220.3239493221095</v>
      </c>
      <c r="S75" s="149">
        <f t="shared" si="14"/>
        <v>226788.5742144809</v>
      </c>
      <c r="T75" s="151" t="s">
        <v>352</v>
      </c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</row>
    <row r="76" spans="1:32" s="153" customFormat="1" ht="48">
      <c r="A76" s="147"/>
      <c r="B76" s="148" t="s">
        <v>257</v>
      </c>
      <c r="C76" s="149">
        <v>59081.663482730175</v>
      </c>
      <c r="D76" s="150">
        <v>71.340241950971873</v>
      </c>
      <c r="E76" s="150">
        <v>0.57106491254045133</v>
      </c>
      <c r="F76" s="150">
        <v>0.38603104126567822</v>
      </c>
      <c r="G76" s="150">
        <v>5.0305190042090571</v>
      </c>
      <c r="H76" s="150">
        <v>2.8078766471372071E-2</v>
      </c>
      <c r="I76" s="150">
        <v>77.35593567545844</v>
      </c>
      <c r="J76" s="149">
        <v>26204.443130496453</v>
      </c>
      <c r="K76" s="149">
        <v>408.02607500158632</v>
      </c>
      <c r="L76" s="149">
        <v>99.991607267497201</v>
      </c>
      <c r="M76" s="149">
        <v>1917.9097442839316</v>
      </c>
      <c r="N76" s="149">
        <v>1144.911702870196</v>
      </c>
      <c r="O76" s="149">
        <v>111.01512299329512</v>
      </c>
      <c r="P76" s="149">
        <v>153.4192601366357</v>
      </c>
      <c r="Q76" s="149">
        <v>0.38998286765794538</v>
      </c>
      <c r="R76" s="149">
        <v>1267.9122993295121</v>
      </c>
      <c r="S76" s="149">
        <f t="shared" si="14"/>
        <v>31308.018925246764</v>
      </c>
      <c r="T76" s="151" t="s">
        <v>352</v>
      </c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</row>
    <row r="77" spans="1:32" s="153" customFormat="1" ht="9.75" customHeight="1">
      <c r="A77" s="161"/>
      <c r="B77" s="162"/>
      <c r="C77" s="163"/>
      <c r="D77" s="164"/>
      <c r="E77" s="164"/>
      <c r="F77" s="164"/>
      <c r="G77" s="164"/>
      <c r="H77" s="164"/>
      <c r="I77" s="164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6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</row>
    <row r="78" spans="1:32" s="160" customFormat="1">
      <c r="A78" s="155"/>
      <c r="B78" s="156" t="s">
        <v>27</v>
      </c>
      <c r="C78" s="157">
        <v>2452474.12</v>
      </c>
      <c r="D78" s="158">
        <v>2584.7466261953082</v>
      </c>
      <c r="E78" s="158">
        <v>61.67</v>
      </c>
      <c r="F78" s="158">
        <v>5.94</v>
      </c>
      <c r="G78" s="158">
        <v>88.146999999999991</v>
      </c>
      <c r="H78" s="158">
        <v>2.6999999999999997</v>
      </c>
      <c r="I78" s="158">
        <v>2743.2036261953072</v>
      </c>
      <c r="J78" s="145">
        <f>SUM(J79:J88)</f>
        <v>1530910.1786327853</v>
      </c>
      <c r="K78" s="145">
        <f t="shared" ref="K78:S78" si="15">SUM(K79:K88)</f>
        <v>10541.000000000002</v>
      </c>
      <c r="L78" s="145">
        <f t="shared" si="15"/>
        <v>26103</v>
      </c>
      <c r="M78" s="145">
        <f t="shared" si="15"/>
        <v>0</v>
      </c>
      <c r="N78" s="145">
        <f t="shared" si="15"/>
        <v>119112</v>
      </c>
      <c r="O78" s="145">
        <f t="shared" si="15"/>
        <v>17059</v>
      </c>
      <c r="P78" s="145">
        <f t="shared" si="15"/>
        <v>227454.00000000003</v>
      </c>
      <c r="Q78" s="145">
        <f t="shared" si="15"/>
        <v>113781.00000000001</v>
      </c>
      <c r="R78" s="145">
        <f t="shared" si="15"/>
        <v>27784</v>
      </c>
      <c r="S78" s="145">
        <f t="shared" si="15"/>
        <v>2072744.1786327853</v>
      </c>
      <c r="T78" s="151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</row>
    <row r="79" spans="1:32" s="153" customFormat="1" ht="48">
      <c r="A79" s="147">
        <v>48</v>
      </c>
      <c r="B79" s="148" t="s">
        <v>126</v>
      </c>
      <c r="C79" s="149">
        <v>517110.24578804965</v>
      </c>
      <c r="D79" s="150">
        <v>545.0002315097571</v>
      </c>
      <c r="E79" s="150">
        <v>13.003272327191377</v>
      </c>
      <c r="F79" s="150">
        <v>1.2524637201802624</v>
      </c>
      <c r="G79" s="150">
        <v>18.586013391031912</v>
      </c>
      <c r="H79" s="150">
        <v>0.56930169099102823</v>
      </c>
      <c r="I79" s="150">
        <v>578.41128263915152</v>
      </c>
      <c r="J79" s="149">
        <f>262277.333222897</f>
        <v>262277.33322289702</v>
      </c>
      <c r="K79" s="149">
        <v>2222.5959721246036</v>
      </c>
      <c r="L79" s="149">
        <v>5503.8822370143744</v>
      </c>
      <c r="M79" s="149">
        <v>0</v>
      </c>
      <c r="N79" s="149">
        <v>25115.06037678643</v>
      </c>
      <c r="O79" s="149">
        <v>3596.9324246725741</v>
      </c>
      <c r="P79" s="149">
        <v>47959.239563953095</v>
      </c>
      <c r="Q79" s="149">
        <v>23991.005815796365</v>
      </c>
      <c r="R79" s="149">
        <v>5858.3252527758259</v>
      </c>
      <c r="S79" s="149">
        <f t="shared" ref="S79:S88" si="16">SUM(J79:R79)</f>
        <v>376524.37486602028</v>
      </c>
      <c r="T79" s="151" t="s">
        <v>352</v>
      </c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</row>
    <row r="80" spans="1:32" s="153" customFormat="1" ht="48">
      <c r="A80" s="147">
        <v>49</v>
      </c>
      <c r="B80" s="148" t="s">
        <v>112</v>
      </c>
      <c r="C80" s="149">
        <v>172591.65178563938</v>
      </c>
      <c r="D80" s="150">
        <v>181.90026391079991</v>
      </c>
      <c r="E80" s="150">
        <v>4.3399957124197419</v>
      </c>
      <c r="F80" s="150">
        <v>0.41802455864720728</v>
      </c>
      <c r="G80" s="150">
        <v>6.2033014766120145</v>
      </c>
      <c r="H80" s="150">
        <v>0.19001116302145779</v>
      </c>
      <c r="I80" s="150">
        <v>193.05159682150028</v>
      </c>
      <c r="J80" s="149">
        <v>90913.461402509478</v>
      </c>
      <c r="K80" s="149">
        <v>741.81765533673592</v>
      </c>
      <c r="L80" s="149">
        <v>1836.9856993885605</v>
      </c>
      <c r="M80" s="149">
        <v>0</v>
      </c>
      <c r="N80" s="149">
        <v>8382.4480184488457</v>
      </c>
      <c r="O80" s="149">
        <v>1200.5186777714996</v>
      </c>
      <c r="P80" s="149">
        <v>16006.962619956545</v>
      </c>
      <c r="Q80" s="149">
        <v>8007.2815332387008</v>
      </c>
      <c r="R80" s="149">
        <v>1955.2852419956237</v>
      </c>
      <c r="S80" s="149">
        <f t="shared" si="16"/>
        <v>129044.76084864598</v>
      </c>
      <c r="T80" s="151" t="s">
        <v>352</v>
      </c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</row>
    <row r="81" spans="1:34" s="153" customFormat="1" ht="48">
      <c r="A81" s="147">
        <v>50</v>
      </c>
      <c r="B81" s="148" t="s">
        <v>295</v>
      </c>
      <c r="C81" s="149">
        <v>351432.32460290118</v>
      </c>
      <c r="D81" s="150">
        <v>370.38658550791274</v>
      </c>
      <c r="E81" s="150">
        <v>8.8371295262683205</v>
      </c>
      <c r="F81" s="150">
        <v>0.8511845206102453</v>
      </c>
      <c r="G81" s="150">
        <v>12.631205713506949</v>
      </c>
      <c r="H81" s="150">
        <v>0.38690205482283868</v>
      </c>
      <c r="I81" s="150">
        <v>393.09300732312101</v>
      </c>
      <c r="J81" s="149">
        <v>113355.78380786405</v>
      </c>
      <c r="K81" s="149">
        <v>1510.4942814398307</v>
      </c>
      <c r="L81" s="149">
        <v>3740.4830877927993</v>
      </c>
      <c r="M81" s="149">
        <v>0</v>
      </c>
      <c r="N81" s="149">
        <v>17068.399094095545</v>
      </c>
      <c r="O81" s="149">
        <v>2444.5045011936318</v>
      </c>
      <c r="P81" s="149">
        <v>32593.488880619985</v>
      </c>
      <c r="Q81" s="149">
        <v>16304.482481406449</v>
      </c>
      <c r="R81" s="149">
        <v>3981.3654411843522</v>
      </c>
      <c r="S81" s="149">
        <f t="shared" si="16"/>
        <v>190999.00157559666</v>
      </c>
      <c r="T81" s="151" t="s">
        <v>352</v>
      </c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</row>
    <row r="82" spans="1:34" s="153" customFormat="1" ht="48">
      <c r="A82" s="147">
        <v>51</v>
      </c>
      <c r="B82" s="148" t="s">
        <v>221</v>
      </c>
      <c r="C82" s="149">
        <v>284135.17503158265</v>
      </c>
      <c r="D82" s="150">
        <v>299.45981042454241</v>
      </c>
      <c r="E82" s="150">
        <v>7.1448730493423938</v>
      </c>
      <c r="F82" s="150">
        <v>0.68818786951668265</v>
      </c>
      <c r="G82" s="150">
        <v>10.212406756613975</v>
      </c>
      <c r="H82" s="150">
        <v>0.31281266796212842</v>
      </c>
      <c r="I82" s="150">
        <v>317.81809076797754</v>
      </c>
      <c r="J82" s="149">
        <v>25705.074021637618</v>
      </c>
      <c r="K82" s="149">
        <v>1221.2438270328873</v>
      </c>
      <c r="L82" s="149">
        <v>3024.2033599316437</v>
      </c>
      <c r="M82" s="149">
        <v>0</v>
      </c>
      <c r="N82" s="149">
        <v>13799.904631964831</v>
      </c>
      <c r="O82" s="149">
        <v>1976.3967788022032</v>
      </c>
      <c r="P82" s="149">
        <v>26352.034288391838</v>
      </c>
      <c r="Q82" s="149">
        <v>13182.273397555162</v>
      </c>
      <c r="R82" s="149">
        <v>3218.9582098739916</v>
      </c>
      <c r="S82" s="149">
        <f t="shared" si="16"/>
        <v>88480.088515190189</v>
      </c>
      <c r="T82" s="151" t="s">
        <v>352</v>
      </c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</row>
    <row r="83" spans="1:34" s="153" customFormat="1" ht="48">
      <c r="A83" s="147">
        <v>52</v>
      </c>
      <c r="B83" s="148" t="s">
        <v>226</v>
      </c>
      <c r="C83" s="149">
        <v>30043.370344338633</v>
      </c>
      <c r="D83" s="150">
        <v>31.663738876504613</v>
      </c>
      <c r="E83" s="150">
        <v>0.75547164148478907</v>
      </c>
      <c r="F83" s="150">
        <v>7.2766362095340473E-2</v>
      </c>
      <c r="G83" s="150">
        <v>1.079820962898649</v>
      </c>
      <c r="H83" s="150">
        <v>3.3075619134245664E-2</v>
      </c>
      <c r="I83" s="150">
        <v>33.604873462117631</v>
      </c>
      <c r="J83" s="149">
        <v>3198</v>
      </c>
      <c r="K83" s="149">
        <v>129.12966714595689</v>
      </c>
      <c r="L83" s="149">
        <v>319.76773565230172</v>
      </c>
      <c r="M83" s="149">
        <v>0</v>
      </c>
      <c r="N83" s="149">
        <v>1459.1493134512111</v>
      </c>
      <c r="O83" s="149">
        <v>208.97666178188771</v>
      </c>
      <c r="P83" s="149">
        <v>2786.363657244709</v>
      </c>
      <c r="Q83" s="149">
        <v>1393.8433410050393</v>
      </c>
      <c r="R83" s="149">
        <v>340.36037112069693</v>
      </c>
      <c r="S83" s="149">
        <f t="shared" si="16"/>
        <v>9835.5907474018022</v>
      </c>
      <c r="T83" s="151" t="s">
        <v>352</v>
      </c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</row>
    <row r="84" spans="1:34" s="153" customFormat="1" ht="48">
      <c r="A84" s="147"/>
      <c r="B84" s="148" t="s">
        <v>137</v>
      </c>
      <c r="C84" s="149">
        <v>238183.84008991669</v>
      </c>
      <c r="D84" s="150">
        <v>251.0301218129286</v>
      </c>
      <c r="E84" s="150">
        <v>5.9893791736914075</v>
      </c>
      <c r="F84" s="150">
        <v>0.57689171869185929</v>
      </c>
      <c r="G84" s="150">
        <v>8.5608205938604893</v>
      </c>
      <c r="H84" s="150">
        <v>0.26222350849629961</v>
      </c>
      <c r="I84" s="150">
        <v>266.4194368076686</v>
      </c>
      <c r="J84" s="149">
        <v>248466.5351278109</v>
      </c>
      <c r="K84" s="149">
        <v>1023.7400011331462</v>
      </c>
      <c r="L84" s="149">
        <v>2535.1186082514482</v>
      </c>
      <c r="M84" s="149">
        <v>0</v>
      </c>
      <c r="N84" s="149">
        <v>11568.135757041202</v>
      </c>
      <c r="O84" s="149">
        <v>1656.7669746068059</v>
      </c>
      <c r="P84" s="149">
        <v>22090.291074636054</v>
      </c>
      <c r="Q84" s="149">
        <v>11050.390007487953</v>
      </c>
      <c r="R84" s="149">
        <v>2698.3770222448852</v>
      </c>
      <c r="S84" s="149">
        <f t="shared" si="16"/>
        <v>301089.35457321239</v>
      </c>
      <c r="T84" s="151" t="s">
        <v>352</v>
      </c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</row>
    <row r="85" spans="1:34" s="153" customFormat="1" ht="48">
      <c r="A85" s="147"/>
      <c r="B85" s="148" t="s">
        <v>241</v>
      </c>
      <c r="C85" s="149">
        <v>145710.34617004238</v>
      </c>
      <c r="D85" s="150">
        <v>153.5691335510474</v>
      </c>
      <c r="E85" s="150">
        <v>3.6640374612012274</v>
      </c>
      <c r="F85" s="150">
        <v>0.35291685616240137</v>
      </c>
      <c r="G85" s="150">
        <v>5.2371316700584485</v>
      </c>
      <c r="H85" s="150">
        <v>0.16041675280109147</v>
      </c>
      <c r="I85" s="150">
        <v>162.98363629127053</v>
      </c>
      <c r="J85" s="149">
        <v>131665.05564259354</v>
      </c>
      <c r="K85" s="149">
        <v>626.2788856578909</v>
      </c>
      <c r="L85" s="149">
        <v>1550.8735179136634</v>
      </c>
      <c r="M85" s="149">
        <v>0</v>
      </c>
      <c r="N85" s="149">
        <v>7076.8741702383741</v>
      </c>
      <c r="O85" s="149">
        <v>1013.5368096421554</v>
      </c>
      <c r="P85" s="149">
        <v>13513.863737636841</v>
      </c>
      <c r="Q85" s="149">
        <v>6760.1402038744418</v>
      </c>
      <c r="R85" s="149">
        <v>1650.74779993538</v>
      </c>
      <c r="S85" s="149">
        <f t="shared" si="16"/>
        <v>163857.37076749228</v>
      </c>
      <c r="T85" s="151" t="s">
        <v>352</v>
      </c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</row>
    <row r="86" spans="1:34" s="153" customFormat="1" ht="48">
      <c r="A86" s="147"/>
      <c r="B86" s="148" t="s">
        <v>51</v>
      </c>
      <c r="C86" s="149">
        <v>430912.06084884907</v>
      </c>
      <c r="D86" s="150">
        <v>454.15300670570576</v>
      </c>
      <c r="E86" s="150">
        <v>10.835729753816331</v>
      </c>
      <c r="F86" s="150">
        <v>1.0436879315334686</v>
      </c>
      <c r="G86" s="150">
        <v>15.487872070855326</v>
      </c>
      <c r="H86" s="150">
        <v>0.47440360524248559</v>
      </c>
      <c r="I86" s="150">
        <v>481.9947000671533</v>
      </c>
      <c r="J86" s="149">
        <v>386395.19991893123</v>
      </c>
      <c r="K86" s="149">
        <v>1852.1068158744599</v>
      </c>
      <c r="L86" s="149">
        <v>4586.4286324609639</v>
      </c>
      <c r="M86" s="149">
        <v>0</v>
      </c>
      <c r="N86" s="149">
        <v>20928.578602830723</v>
      </c>
      <c r="O86" s="149">
        <v>2997.3522599376156</v>
      </c>
      <c r="P86" s="149">
        <v>39964.813935860868</v>
      </c>
      <c r="Q86" s="149">
        <v>19991.895040035284</v>
      </c>
      <c r="R86" s="149">
        <v>4881.7888029841561</v>
      </c>
      <c r="S86" s="149">
        <f t="shared" si="16"/>
        <v>481598.16400891531</v>
      </c>
      <c r="T86" s="151" t="s">
        <v>352</v>
      </c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</row>
    <row r="87" spans="1:34" s="153" customFormat="1" ht="48">
      <c r="A87" s="147"/>
      <c r="B87" s="148" t="s">
        <v>85</v>
      </c>
      <c r="C87" s="149">
        <v>71007.505808844362</v>
      </c>
      <c r="D87" s="150">
        <v>74.837246834618654</v>
      </c>
      <c r="E87" s="150">
        <v>1.785557224649299</v>
      </c>
      <c r="F87" s="150">
        <v>0.17198329681233723</v>
      </c>
      <c r="G87" s="150">
        <v>2.5521568458109574</v>
      </c>
      <c r="H87" s="150">
        <v>7.8174225823789634E-2</v>
      </c>
      <c r="I87" s="150">
        <v>79.425118427715034</v>
      </c>
      <c r="J87" s="149">
        <v>95791.705418194062</v>
      </c>
      <c r="K87" s="149">
        <v>305.1979682994691</v>
      </c>
      <c r="L87" s="149">
        <v>755.77104321421518</v>
      </c>
      <c r="M87" s="149">
        <v>0</v>
      </c>
      <c r="N87" s="149">
        <v>3448.6994023419375</v>
      </c>
      <c r="O87" s="149">
        <v>493.9163401214916</v>
      </c>
      <c r="P87" s="149">
        <v>6585.5705038978704</v>
      </c>
      <c r="Q87" s="149">
        <v>3294.3487364654106</v>
      </c>
      <c r="R87" s="149">
        <v>804.44173714376723</v>
      </c>
      <c r="S87" s="149">
        <f t="shared" si="16"/>
        <v>111479.65114967823</v>
      </c>
      <c r="T87" s="151" t="s">
        <v>352</v>
      </c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</row>
    <row r="88" spans="1:34" s="153" customFormat="1" ht="48">
      <c r="A88" s="147"/>
      <c r="B88" s="148" t="s">
        <v>89</v>
      </c>
      <c r="C88" s="149">
        <v>211347.59952983621</v>
      </c>
      <c r="D88" s="150">
        <v>222.74648706149085</v>
      </c>
      <c r="E88" s="150">
        <v>5.3145541299351198</v>
      </c>
      <c r="F88" s="150">
        <v>0.5118931657501965</v>
      </c>
      <c r="G88" s="150">
        <v>7.5962705187512718</v>
      </c>
      <c r="H88" s="150">
        <v>0.23267871170463469</v>
      </c>
      <c r="I88" s="150">
        <v>236.40188358763203</v>
      </c>
      <c r="J88" s="149">
        <v>173142.03007034739</v>
      </c>
      <c r="K88" s="149">
        <v>908.3949259550202</v>
      </c>
      <c r="L88" s="149">
        <v>2249.4860783800295</v>
      </c>
      <c r="M88" s="149">
        <v>0</v>
      </c>
      <c r="N88" s="149">
        <v>10264.750632800908</v>
      </c>
      <c r="O88" s="149">
        <v>1470.0985714701346</v>
      </c>
      <c r="P88" s="149">
        <v>19601.371737802219</v>
      </c>
      <c r="Q88" s="149">
        <v>9805.3394431352008</v>
      </c>
      <c r="R88" s="149">
        <v>2394.3501207413228</v>
      </c>
      <c r="S88" s="149">
        <f t="shared" si="16"/>
        <v>219835.82158063221</v>
      </c>
      <c r="T88" s="151" t="s">
        <v>352</v>
      </c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3">
        <v>339.45385415183239</v>
      </c>
      <c r="AH88" s="153">
        <v>25387.032213509247</v>
      </c>
    </row>
    <row r="89" spans="1:34" s="153" customFormat="1" ht="9.75" customHeight="1">
      <c r="A89" s="147"/>
      <c r="B89" s="148"/>
      <c r="C89" s="154"/>
      <c r="D89" s="150"/>
      <c r="E89" s="150"/>
      <c r="F89" s="150"/>
      <c r="G89" s="150"/>
      <c r="H89" s="150"/>
      <c r="I89" s="150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51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</row>
    <row r="90" spans="1:34" s="160" customFormat="1">
      <c r="A90" s="155"/>
      <c r="B90" s="156" t="s">
        <v>28</v>
      </c>
      <c r="C90" s="157">
        <v>2513508</v>
      </c>
      <c r="D90" s="158">
        <v>2275.5335601636748</v>
      </c>
      <c r="E90" s="158">
        <v>212.2495714285715</v>
      </c>
      <c r="F90" s="158">
        <v>0.75139999999999962</v>
      </c>
      <c r="G90" s="158">
        <v>56.548999999999999</v>
      </c>
      <c r="H90" s="158">
        <v>93.899999999999991</v>
      </c>
      <c r="I90" s="158">
        <v>2638.9835315922469</v>
      </c>
      <c r="J90" s="145">
        <f>SUM(J91:J96)</f>
        <v>2230432.809740555</v>
      </c>
      <c r="K90" s="145">
        <f t="shared" ref="K90:R90" si="17">SUM(K91:K96)</f>
        <v>7552</v>
      </c>
      <c r="L90" s="145">
        <f t="shared" si="17"/>
        <v>0</v>
      </c>
      <c r="M90" s="145">
        <f t="shared" si="17"/>
        <v>59621.999999999993</v>
      </c>
      <c r="N90" s="145">
        <f t="shared" si="17"/>
        <v>61227</v>
      </c>
      <c r="O90" s="145">
        <f t="shared" si="17"/>
        <v>3269.9999999999995</v>
      </c>
      <c r="P90" s="145">
        <f t="shared" si="17"/>
        <v>30150</v>
      </c>
      <c r="Q90" s="145">
        <f t="shared" si="17"/>
        <v>10587.999999999998</v>
      </c>
      <c r="R90" s="145">
        <f t="shared" si="17"/>
        <v>9035</v>
      </c>
      <c r="S90" s="145">
        <f>SUM(S91:S96)</f>
        <v>2411876.8097405555</v>
      </c>
      <c r="T90" s="151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</row>
    <row r="91" spans="1:34" s="153" customFormat="1" ht="48">
      <c r="A91" s="147">
        <v>53</v>
      </c>
      <c r="B91" s="148" t="s">
        <v>268</v>
      </c>
      <c r="C91" s="149">
        <v>203707.13867894304</v>
      </c>
      <c r="D91" s="150">
        <v>184.42051129690088</v>
      </c>
      <c r="E91" s="150">
        <v>17.201756621242598</v>
      </c>
      <c r="F91" s="150">
        <v>6.0897177969339154E-2</v>
      </c>
      <c r="G91" s="150">
        <v>4.5830110686560577</v>
      </c>
      <c r="H91" s="150">
        <v>7.6101211223329113</v>
      </c>
      <c r="I91" s="150">
        <v>213.87629728710178</v>
      </c>
      <c r="J91" s="149">
        <f>195646.936276741</f>
        <v>195646.93627674101</v>
      </c>
      <c r="K91" s="149">
        <v>612.05148792181205</v>
      </c>
      <c r="L91" s="149">
        <v>0</v>
      </c>
      <c r="M91" s="149">
        <v>4832.062210391191</v>
      </c>
      <c r="N91" s="149">
        <v>4962.139360565252</v>
      </c>
      <c r="O91" s="149">
        <v>265.01699755089049</v>
      </c>
      <c r="P91" s="149">
        <v>2443.5053443912379</v>
      </c>
      <c r="Q91" s="149">
        <v>858.1039663819048</v>
      </c>
      <c r="R91" s="149">
        <v>732.24115378357669</v>
      </c>
      <c r="S91" s="149">
        <f t="shared" ref="S91:S96" si="18">SUM(J91:R91)</f>
        <v>210352.05679772687</v>
      </c>
      <c r="T91" s="151" t="s">
        <v>352</v>
      </c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</row>
    <row r="92" spans="1:34" s="153" customFormat="1" ht="48">
      <c r="A92" s="147">
        <v>54</v>
      </c>
      <c r="B92" s="148" t="s">
        <v>58</v>
      </c>
      <c r="C92" s="149">
        <v>474303.59189536131</v>
      </c>
      <c r="D92" s="150">
        <v>429.39737652081095</v>
      </c>
      <c r="E92" s="150">
        <v>40.051885296097133</v>
      </c>
      <c r="F92" s="150">
        <v>0.14179056480034052</v>
      </c>
      <c r="G92" s="150">
        <v>10.670900517559835</v>
      </c>
      <c r="H92" s="150">
        <v>17.719103053968567</v>
      </c>
      <c r="I92" s="150">
        <v>497.98105595323676</v>
      </c>
      <c r="J92" s="149">
        <v>447906.54774370056</v>
      </c>
      <c r="K92" s="149">
        <v>1425.0763180358961</v>
      </c>
      <c r="L92" s="149">
        <v>0</v>
      </c>
      <c r="M92" s="149">
        <v>11250.781280976718</v>
      </c>
      <c r="N92" s="149">
        <v>11553.647738927939</v>
      </c>
      <c r="O92" s="149">
        <v>617.05502648005552</v>
      </c>
      <c r="P92" s="149">
        <v>5689.3605652518881</v>
      </c>
      <c r="Q92" s="149">
        <v>1997.97511326325</v>
      </c>
      <c r="R92" s="149">
        <v>1704.9211511459639</v>
      </c>
      <c r="S92" s="149">
        <f t="shared" si="18"/>
        <v>482145.36493778223</v>
      </c>
      <c r="T92" s="151" t="s">
        <v>352</v>
      </c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</row>
    <row r="93" spans="1:34" s="153" customFormat="1" ht="48">
      <c r="A93" s="147">
        <v>55</v>
      </c>
      <c r="B93" s="148" t="s">
        <v>235</v>
      </c>
      <c r="C93" s="149">
        <v>239604.59030634296</v>
      </c>
      <c r="D93" s="150">
        <v>216.91925643815392</v>
      </c>
      <c r="E93" s="150">
        <v>20.233065343273125</v>
      </c>
      <c r="F93" s="150">
        <v>7.1628532376338566E-2</v>
      </c>
      <c r="G93" s="150">
        <v>5.3906333209336861</v>
      </c>
      <c r="H93" s="150">
        <v>8.9511833778788858</v>
      </c>
      <c r="I93" s="150">
        <v>251.56576701261594</v>
      </c>
      <c r="J93" s="149">
        <v>235116.60889626405</v>
      </c>
      <c r="K93" s="149">
        <v>719.90774089181423</v>
      </c>
      <c r="L93" s="149">
        <v>0</v>
      </c>
      <c r="M93" s="149">
        <v>5683.5724745036732</v>
      </c>
      <c r="N93" s="149">
        <v>5836.5719347964914</v>
      </c>
      <c r="O93" s="149">
        <v>311.71852657789088</v>
      </c>
      <c r="P93" s="149">
        <v>2874.1020111080766</v>
      </c>
      <c r="Q93" s="149">
        <v>1009.3198040999109</v>
      </c>
      <c r="R93" s="149">
        <v>861.27733566704728</v>
      </c>
      <c r="S93" s="149">
        <f t="shared" si="18"/>
        <v>252413.07872390898</v>
      </c>
      <c r="T93" s="151" t="s">
        <v>352</v>
      </c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</row>
    <row r="94" spans="1:34" s="153" customFormat="1" ht="48">
      <c r="A94" s="147">
        <v>56</v>
      </c>
      <c r="B94" s="148" t="s">
        <v>241</v>
      </c>
      <c r="C94" s="149">
        <v>1040658.5833869098</v>
      </c>
      <c r="D94" s="150">
        <v>942.13089083834291</v>
      </c>
      <c r="E94" s="150">
        <v>87.876918763471579</v>
      </c>
      <c r="F94" s="150">
        <v>0.31109941148264642</v>
      </c>
      <c r="G94" s="150">
        <v>23.412776976220631</v>
      </c>
      <c r="H94" s="150">
        <v>38.877075776178486</v>
      </c>
      <c r="I94" s="150">
        <v>1092.6087617656963</v>
      </c>
      <c r="J94" s="149">
        <v>913459.10122785822</v>
      </c>
      <c r="K94" s="149">
        <v>3126.7271167380186</v>
      </c>
      <c r="L94" s="149">
        <v>0</v>
      </c>
      <c r="M94" s="149">
        <v>24685.079999225916</v>
      </c>
      <c r="N94" s="149">
        <v>25349.592316805963</v>
      </c>
      <c r="O94" s="149">
        <v>1353.8662171257042</v>
      </c>
      <c r="P94" s="149">
        <v>12482.894937718649</v>
      </c>
      <c r="Q94" s="149">
        <v>4383.7111641978463</v>
      </c>
      <c r="R94" s="149">
        <v>3740.7282176546605</v>
      </c>
      <c r="S94" s="149">
        <f t="shared" si="18"/>
        <v>988581.7011973249</v>
      </c>
      <c r="T94" s="151" t="s">
        <v>352</v>
      </c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</row>
    <row r="95" spans="1:34" s="153" customFormat="1" ht="48">
      <c r="A95" s="147">
        <v>57</v>
      </c>
      <c r="B95" s="148" t="s">
        <v>257</v>
      </c>
      <c r="C95" s="149">
        <v>401652.95796089596</v>
      </c>
      <c r="D95" s="150">
        <v>363.62517460816855</v>
      </c>
      <c r="E95" s="150">
        <v>33.91700690438153</v>
      </c>
      <c r="F95" s="150">
        <v>0.12007203979928333</v>
      </c>
      <c r="G95" s="150">
        <v>9.0364037511440998</v>
      </c>
      <c r="H95" s="150">
        <v>15.005010030812764</v>
      </c>
      <c r="I95" s="150">
        <v>421.7036673343062</v>
      </c>
      <c r="J95" s="149">
        <v>312413.84144624806</v>
      </c>
      <c r="K95" s="149">
        <v>1206.7927130212781</v>
      </c>
      <c r="L95" s="149">
        <v>0</v>
      </c>
      <c r="M95" s="149">
        <v>9527.4622796285257</v>
      </c>
      <c r="N95" s="149">
        <v>9783.9376906983307</v>
      </c>
      <c r="O95" s="149">
        <v>522.53868797399082</v>
      </c>
      <c r="P95" s="149">
        <v>4817.9025817785396</v>
      </c>
      <c r="Q95" s="149">
        <v>1691.9387242411665</v>
      </c>
      <c r="R95" s="149">
        <v>1443.7727968944978</v>
      </c>
      <c r="S95" s="149">
        <f t="shared" si="18"/>
        <v>341408.18692048435</v>
      </c>
      <c r="T95" s="151" t="s">
        <v>352</v>
      </c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</row>
    <row r="96" spans="1:34" s="153" customFormat="1" ht="48">
      <c r="A96" s="147"/>
      <c r="B96" s="148" t="s">
        <v>137</v>
      </c>
      <c r="C96" s="149">
        <v>153581.1377715469</v>
      </c>
      <c r="D96" s="150">
        <v>139.04035046129792</v>
      </c>
      <c r="E96" s="150">
        <v>12.968938500105518</v>
      </c>
      <c r="F96" s="150">
        <v>4.5912273572051597E-2</v>
      </c>
      <c r="G96" s="150">
        <v>3.4552743654856899</v>
      </c>
      <c r="H96" s="150">
        <v>5.7375066388283837</v>
      </c>
      <c r="I96" s="150">
        <v>161.24798223928954</v>
      </c>
      <c r="J96" s="149">
        <v>125889.77414974351</v>
      </c>
      <c r="K96" s="149">
        <v>461.44462339118166</v>
      </c>
      <c r="L96" s="149">
        <v>0</v>
      </c>
      <c r="M96" s="149">
        <v>3643.0417552739714</v>
      </c>
      <c r="N96" s="149">
        <v>3741.1109582060221</v>
      </c>
      <c r="O96" s="149">
        <v>199.80454429146766</v>
      </c>
      <c r="P96" s="149">
        <v>1842.2345597516055</v>
      </c>
      <c r="Q96" s="149">
        <v>646.95122781592033</v>
      </c>
      <c r="R96" s="149">
        <v>552.05934485425405</v>
      </c>
      <c r="S96" s="149">
        <f t="shared" si="18"/>
        <v>136976.42116332793</v>
      </c>
      <c r="T96" s="151" t="s">
        <v>352</v>
      </c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</row>
    <row r="97" spans="1:34" s="153" customFormat="1" ht="9.75" customHeight="1">
      <c r="A97" s="161"/>
      <c r="B97" s="162"/>
      <c r="C97" s="163"/>
      <c r="D97" s="164"/>
      <c r="E97" s="164"/>
      <c r="F97" s="164"/>
      <c r="G97" s="164"/>
      <c r="H97" s="164"/>
      <c r="I97" s="164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6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</row>
    <row r="98" spans="1:34" s="160" customFormat="1">
      <c r="A98" s="155"/>
      <c r="B98" s="196" t="s">
        <v>29</v>
      </c>
      <c r="C98" s="157">
        <v>2372314.37</v>
      </c>
      <c r="D98" s="158">
        <v>2869.8775227145552</v>
      </c>
      <c r="E98" s="158">
        <v>423.60930000000008</v>
      </c>
      <c r="F98" s="158">
        <v>2.6</v>
      </c>
      <c r="G98" s="158">
        <v>498.47000000000008</v>
      </c>
      <c r="H98" s="158">
        <v>18.999999999999996</v>
      </c>
      <c r="I98" s="158">
        <v>3813.5568227145559</v>
      </c>
      <c r="J98" s="145">
        <f>SUM(J99:J105)</f>
        <v>936893</v>
      </c>
      <c r="K98" s="145">
        <f t="shared" ref="K98:R98" si="19">SUM(K99:K105)</f>
        <v>76707</v>
      </c>
      <c r="L98" s="145">
        <f t="shared" si="19"/>
        <v>118026</v>
      </c>
      <c r="M98" s="145">
        <f t="shared" si="19"/>
        <v>386122</v>
      </c>
      <c r="N98" s="145">
        <f t="shared" si="19"/>
        <v>28686</v>
      </c>
      <c r="O98" s="145">
        <f t="shared" si="19"/>
        <v>477742.00000000006</v>
      </c>
      <c r="P98" s="145">
        <f t="shared" si="19"/>
        <v>99527</v>
      </c>
      <c r="Q98" s="145">
        <f t="shared" si="19"/>
        <v>98523</v>
      </c>
      <c r="R98" s="145">
        <f t="shared" si="19"/>
        <v>59775</v>
      </c>
      <c r="S98" s="145">
        <f>SUM(S99:S105)</f>
        <v>2282000.9999999995</v>
      </c>
      <c r="T98" s="151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</row>
    <row r="99" spans="1:34" s="153" customFormat="1">
      <c r="A99" s="147">
        <v>58</v>
      </c>
      <c r="B99" s="148" t="s">
        <v>32</v>
      </c>
      <c r="C99" s="149">
        <v>403006.01239287207</v>
      </c>
      <c r="D99" s="150">
        <v>487.53146341440703</v>
      </c>
      <c r="E99" s="150">
        <v>71.962256336851283</v>
      </c>
      <c r="F99" s="150">
        <v>0.44168498301574904</v>
      </c>
      <c r="G99" s="150">
        <v>84.679505186100172</v>
      </c>
      <c r="H99" s="150">
        <v>3.2276979528073966</v>
      </c>
      <c r="I99" s="150">
        <v>647.84260787318169</v>
      </c>
      <c r="J99" s="149">
        <v>197633.86813546927</v>
      </c>
      <c r="K99" s="149">
        <v>13030.896150841945</v>
      </c>
      <c r="L99" s="149">
        <v>20050.119925160303</v>
      </c>
      <c r="M99" s="149">
        <v>65593.957312310406</v>
      </c>
      <c r="N99" s="149">
        <v>4873.1443933806831</v>
      </c>
      <c r="O99" s="149">
        <v>81158.256598426917</v>
      </c>
      <c r="P99" s="149">
        <v>16907.531271003252</v>
      </c>
      <c r="Q99" s="149">
        <v>16736.972916023322</v>
      </c>
      <c r="R99" s="149">
        <v>10154.507638371691</v>
      </c>
      <c r="S99" s="149">
        <f t="shared" ref="S99:S105" si="20">SUM(J99:R99)</f>
        <v>426139.25434098777</v>
      </c>
      <c r="T99" s="151" t="s">
        <v>329</v>
      </c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4" s="153" customFormat="1">
      <c r="A100" s="147">
        <v>59</v>
      </c>
      <c r="B100" s="148" t="s">
        <v>89</v>
      </c>
      <c r="C100" s="149">
        <v>679511.57466817321</v>
      </c>
      <c r="D100" s="150">
        <v>822.0305956181362</v>
      </c>
      <c r="E100" s="150">
        <v>121.33612059479394</v>
      </c>
      <c r="F100" s="150">
        <v>0.74472848812918935</v>
      </c>
      <c r="G100" s="150">
        <v>142.7787728760604</v>
      </c>
      <c r="H100" s="150">
        <v>5.4422466440209991</v>
      </c>
      <c r="I100" s="150">
        <v>1092.3324642211408</v>
      </c>
      <c r="J100" s="149">
        <v>197869.72933055036</v>
      </c>
      <c r="K100" s="149">
        <v>21971.495438048354</v>
      </c>
      <c r="L100" s="149">
        <v>33806.66328459065</v>
      </c>
      <c r="M100" s="149">
        <v>110598.48203593033</v>
      </c>
      <c r="N100" s="149">
        <v>8216.6466963361254</v>
      </c>
      <c r="O100" s="149">
        <v>136841.56822146737</v>
      </c>
      <c r="P100" s="149">
        <v>28507.920091551474</v>
      </c>
      <c r="Q100" s="149">
        <v>28220.340321520045</v>
      </c>
      <c r="R100" s="149">
        <v>17121.594376123958</v>
      </c>
      <c r="S100" s="149">
        <f t="shared" si="20"/>
        <v>583154.43979611853</v>
      </c>
      <c r="T100" s="151" t="s">
        <v>329</v>
      </c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</row>
    <row r="101" spans="1:34" s="153" customFormat="1">
      <c r="A101" s="147">
        <v>60</v>
      </c>
      <c r="B101" s="148" t="s">
        <v>192</v>
      </c>
      <c r="C101" s="149">
        <v>673113.1216399339</v>
      </c>
      <c r="D101" s="150">
        <v>814.290147405158</v>
      </c>
      <c r="E101" s="150">
        <v>120.19358896296163</v>
      </c>
      <c r="F101" s="150">
        <v>0.73771593613195041</v>
      </c>
      <c r="G101" s="150">
        <v>141.43433180142051</v>
      </c>
      <c r="H101" s="150">
        <v>5.3910010717334833</v>
      </c>
      <c r="I101" s="150">
        <v>1082.0467851774056</v>
      </c>
      <c r="J101" s="149">
        <v>291541.84722080932</v>
      </c>
      <c r="K101" s="149">
        <v>21764.606274182119</v>
      </c>
      <c r="L101" s="149">
        <v>33488.331183811373</v>
      </c>
      <c r="M101" s="149">
        <v>109557.0587273619</v>
      </c>
      <c r="N101" s="149">
        <v>8139.2766707235114</v>
      </c>
      <c r="O101" s="149">
        <v>135553.03336905778</v>
      </c>
      <c r="P101" s="149">
        <v>28239.48229823255</v>
      </c>
      <c r="Q101" s="149">
        <v>27954.61045212621</v>
      </c>
      <c r="R101" s="149">
        <v>16960.37310857205</v>
      </c>
      <c r="S101" s="149">
        <f t="shared" si="20"/>
        <v>673198.61930487677</v>
      </c>
      <c r="T101" s="151" t="s">
        <v>329</v>
      </c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</row>
    <row r="102" spans="1:34" s="153" customFormat="1">
      <c r="A102" s="147">
        <v>61</v>
      </c>
      <c r="B102" s="148" t="s">
        <v>224</v>
      </c>
      <c r="C102" s="149">
        <v>47057.588273419191</v>
      </c>
      <c r="D102" s="150">
        <v>56.92732656635291</v>
      </c>
      <c r="E102" s="150">
        <v>8.4027784345425154</v>
      </c>
      <c r="F102" s="150">
        <v>5.157399502279704E-2</v>
      </c>
      <c r="G102" s="150">
        <v>9.8877266534667854</v>
      </c>
      <c r="H102" s="150">
        <v>0.37688688670505527</v>
      </c>
      <c r="I102" s="150">
        <v>75.646292536090073</v>
      </c>
      <c r="J102" s="149">
        <v>4733.8412792419304</v>
      </c>
      <c r="K102" s="149">
        <v>1521.5717062360354</v>
      </c>
      <c r="L102" s="149">
        <v>2341.1816679079398</v>
      </c>
      <c r="M102" s="149">
        <v>7659.1746562278604</v>
      </c>
      <c r="N102" s="149">
        <v>569.01985431690616</v>
      </c>
      <c r="O102" s="149">
        <v>9476.5628962235023</v>
      </c>
      <c r="P102" s="149">
        <v>1974.2326933207389</v>
      </c>
      <c r="Q102" s="149">
        <v>1954.3171967811663</v>
      </c>
      <c r="R102" s="149">
        <v>1185.7059817260358</v>
      </c>
      <c r="S102" s="149">
        <f t="shared" si="20"/>
        <v>31415.607931982115</v>
      </c>
      <c r="T102" s="151" t="s">
        <v>329</v>
      </c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</row>
    <row r="103" spans="1:34" s="153" customFormat="1">
      <c r="A103" s="147"/>
      <c r="B103" s="148" t="s">
        <v>226</v>
      </c>
      <c r="C103" s="149">
        <v>168579.93161686437</v>
      </c>
      <c r="D103" s="150">
        <v>203.93745561133022</v>
      </c>
      <c r="E103" s="150">
        <v>30.102261205064398</v>
      </c>
      <c r="F103" s="150">
        <v>0.18475958656518501</v>
      </c>
      <c r="G103" s="150">
        <v>35.421965813518376</v>
      </c>
      <c r="H103" s="150">
        <v>1.3501662095148135</v>
      </c>
      <c r="I103" s="150">
        <v>270.99660842599303</v>
      </c>
      <c r="J103" s="149">
        <v>4321.379084210932</v>
      </c>
      <c r="K103" s="149">
        <v>5450.9052333290947</v>
      </c>
      <c r="L103" s="149">
        <v>8387.0903707471243</v>
      </c>
      <c r="M103" s="149">
        <v>27438.361955277833</v>
      </c>
      <c r="N103" s="149">
        <v>2038.4667308495759</v>
      </c>
      <c r="O103" s="149">
        <v>33949.005540317165</v>
      </c>
      <c r="P103" s="149">
        <v>7072.5259123358346</v>
      </c>
      <c r="Q103" s="149">
        <v>7001.1802873698925</v>
      </c>
      <c r="R103" s="149">
        <v>4247.6939565130515</v>
      </c>
      <c r="S103" s="149">
        <f t="shared" si="20"/>
        <v>99906.609070950493</v>
      </c>
      <c r="T103" s="151" t="s">
        <v>329</v>
      </c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67">
        <v>1185.7059817260358</v>
      </c>
      <c r="AH103" s="168">
        <v>45164.339249059958</v>
      </c>
    </row>
    <row r="104" spans="1:34" s="153" customFormat="1">
      <c r="A104" s="147"/>
      <c r="B104" s="148" t="s">
        <v>162</v>
      </c>
      <c r="C104" s="149">
        <v>64898.102508946249</v>
      </c>
      <c r="D104" s="150">
        <v>78.509664660190012</v>
      </c>
      <c r="E104" s="150">
        <v>11.588447181704238</v>
      </c>
      <c r="F104" s="150">
        <v>7.1126773355615694E-2</v>
      </c>
      <c r="G104" s="150">
        <v>13.636370274836061</v>
      </c>
      <c r="H104" s="150">
        <v>0.51977257452180703</v>
      </c>
      <c r="I104" s="150">
        <v>104.32538146460773</v>
      </c>
      <c r="J104" s="149">
        <v>86868.427598460185</v>
      </c>
      <c r="K104" s="149">
        <v>2098.4313091496974</v>
      </c>
      <c r="L104" s="149">
        <v>3228.7725200268837</v>
      </c>
      <c r="M104" s="149">
        <v>10562.927685237324</v>
      </c>
      <c r="N104" s="149">
        <v>784.74716172276612</v>
      </c>
      <c r="O104" s="149">
        <v>13069.325752484061</v>
      </c>
      <c r="P104" s="149">
        <v>2722.7055276016786</v>
      </c>
      <c r="Q104" s="149">
        <v>2695.2396505058941</v>
      </c>
      <c r="R104" s="149">
        <v>1635.2318758968956</v>
      </c>
      <c r="S104" s="149">
        <f t="shared" si="20"/>
        <v>123665.8090810854</v>
      </c>
      <c r="T104" s="151" t="s">
        <v>362</v>
      </c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</row>
    <row r="105" spans="1:34" s="153" customFormat="1" ht="87">
      <c r="A105" s="147"/>
      <c r="B105" s="148" t="s">
        <v>241</v>
      </c>
      <c r="C105" s="149">
        <v>336148.03889979108</v>
      </c>
      <c r="D105" s="150">
        <v>406.65086943898098</v>
      </c>
      <c r="E105" s="150">
        <v>60.023847284082031</v>
      </c>
      <c r="F105" s="150">
        <v>0.36841023777951348</v>
      </c>
      <c r="G105" s="150">
        <v>70.631327394597733</v>
      </c>
      <c r="H105" s="150">
        <v>2.6922286606964447</v>
      </c>
      <c r="I105" s="150">
        <v>540.36668301613668</v>
      </c>
      <c r="J105" s="149">
        <v>153923.90735125798</v>
      </c>
      <c r="K105" s="149">
        <v>10869.093888212747</v>
      </c>
      <c r="L105" s="149">
        <v>16723.841047755715</v>
      </c>
      <c r="M105" s="149">
        <v>54712.037627654347</v>
      </c>
      <c r="N105" s="149">
        <v>4064.6984926704326</v>
      </c>
      <c r="O105" s="149">
        <v>67694.247622023206</v>
      </c>
      <c r="P105" s="149">
        <v>14102.602205954478</v>
      </c>
      <c r="Q105" s="149">
        <v>13960.339175673464</v>
      </c>
      <c r="R105" s="149">
        <v>8469.8930627963146</v>
      </c>
      <c r="S105" s="149">
        <f t="shared" si="20"/>
        <v>344520.66047399875</v>
      </c>
      <c r="T105" s="73" t="s">
        <v>349</v>
      </c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</row>
    <row r="106" spans="1:34" s="153" customFormat="1" ht="9.75" customHeight="1">
      <c r="A106" s="147"/>
      <c r="B106" s="148"/>
      <c r="C106" s="154"/>
      <c r="D106" s="150"/>
      <c r="E106" s="150"/>
      <c r="F106" s="150"/>
      <c r="G106" s="150"/>
      <c r="H106" s="150"/>
      <c r="I106" s="150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51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</row>
    <row r="107" spans="1:34" s="160" customFormat="1">
      <c r="A107" s="155"/>
      <c r="B107" s="196" t="s">
        <v>343</v>
      </c>
      <c r="C107" s="157">
        <v>703942.99999999988</v>
      </c>
      <c r="D107" s="158">
        <v>307.76754402326031</v>
      </c>
      <c r="E107" s="158">
        <v>215.09160000000003</v>
      </c>
      <c r="F107" s="158">
        <v>17.549199999999999</v>
      </c>
      <c r="G107" s="158">
        <v>83.300800000000024</v>
      </c>
      <c r="H107" s="158">
        <v>43.934400000000004</v>
      </c>
      <c r="I107" s="158">
        <v>667.64354402326023</v>
      </c>
      <c r="J107" s="145">
        <f>SUM(J108:J111)</f>
        <v>333475</v>
      </c>
      <c r="K107" s="145">
        <f t="shared" ref="K107:R107" si="21">SUM(K108:K111)</f>
        <v>18413.999999999996</v>
      </c>
      <c r="L107" s="145">
        <f t="shared" si="21"/>
        <v>3571.9999999999995</v>
      </c>
      <c r="M107" s="145">
        <f t="shared" si="21"/>
        <v>7902</v>
      </c>
      <c r="N107" s="145">
        <f t="shared" si="21"/>
        <v>125598</v>
      </c>
      <c r="O107" s="145">
        <f t="shared" si="21"/>
        <v>30954</v>
      </c>
      <c r="P107" s="145">
        <f t="shared" si="21"/>
        <v>6654.9999999999982</v>
      </c>
      <c r="Q107" s="145">
        <f t="shared" si="21"/>
        <v>7738.9999999999991</v>
      </c>
      <c r="R107" s="145">
        <f t="shared" si="21"/>
        <v>34620</v>
      </c>
      <c r="S107" s="145">
        <f>SUM(S108:S111)</f>
        <v>568928.99999999988</v>
      </c>
      <c r="T107" s="151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</row>
    <row r="108" spans="1:34" s="153" customFormat="1">
      <c r="A108" s="147">
        <v>62</v>
      </c>
      <c r="B108" s="148" t="s">
        <v>162</v>
      </c>
      <c r="C108" s="149">
        <v>389017.97908955539</v>
      </c>
      <c r="D108" s="150">
        <v>170.08068551755539</v>
      </c>
      <c r="E108" s="150">
        <v>118.86544727504787</v>
      </c>
      <c r="F108" s="150">
        <v>9.6981635141459268</v>
      </c>
      <c r="G108" s="150">
        <v>46.034279583067445</v>
      </c>
      <c r="H108" s="150">
        <v>24.279340089342693</v>
      </c>
      <c r="I108" s="150">
        <v>368.95791597915928</v>
      </c>
      <c r="J108" s="149">
        <v>278640</v>
      </c>
      <c r="K108" s="149">
        <v>10176.075430759412</v>
      </c>
      <c r="L108" s="149">
        <v>1973.984003403531</v>
      </c>
      <c r="M108" s="149">
        <v>4366.8593490746653</v>
      </c>
      <c r="N108" s="149">
        <v>69408.858583280147</v>
      </c>
      <c r="O108" s="149">
        <v>17106.019272495214</v>
      </c>
      <c r="P108" s="149">
        <v>3677.7333546054024</v>
      </c>
      <c r="Q108" s="149">
        <v>4276.7811316741117</v>
      </c>
      <c r="R108" s="149">
        <v>19131.950223356733</v>
      </c>
      <c r="S108" s="149">
        <f>SUM(J108:R108)</f>
        <v>408758.26134864916</v>
      </c>
      <c r="T108" s="151" t="s">
        <v>330</v>
      </c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</row>
    <row r="109" spans="1:34" s="153" customFormat="1">
      <c r="A109" s="147">
        <v>63</v>
      </c>
      <c r="B109" s="148" t="s">
        <v>129</v>
      </c>
      <c r="C109" s="149">
        <v>284976.37168687512</v>
      </c>
      <c r="D109" s="150">
        <v>124.5931531654258</v>
      </c>
      <c r="E109" s="150">
        <v>87.075265679642641</v>
      </c>
      <c r="F109" s="150">
        <v>7.1044208721548614</v>
      </c>
      <c r="G109" s="150">
        <v>33.722559557540954</v>
      </c>
      <c r="H109" s="150">
        <v>17.785908666241227</v>
      </c>
      <c r="I109" s="150">
        <v>270.28130794100548</v>
      </c>
      <c r="J109" s="149">
        <v>54835</v>
      </c>
      <c r="K109" s="149">
        <v>7454.5167836630499</v>
      </c>
      <c r="L109" s="149">
        <v>1446.0483301425227</v>
      </c>
      <c r="M109" s="149">
        <v>3198.9568602425015</v>
      </c>
      <c r="N109" s="149">
        <v>50845.682578174856</v>
      </c>
      <c r="O109" s="149">
        <v>12531.069432035738</v>
      </c>
      <c r="P109" s="149">
        <v>2694.1353967241007</v>
      </c>
      <c r="Q109" s="149">
        <v>3132.969772388853</v>
      </c>
      <c r="R109" s="149">
        <v>14015.171665603064</v>
      </c>
      <c r="S109" s="149">
        <f>SUM(J109:R109)</f>
        <v>150153.55081897468</v>
      </c>
      <c r="T109" s="151" t="s">
        <v>330</v>
      </c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67">
        <v>1472.8781110402042</v>
      </c>
      <c r="AH109" s="168">
        <v>25616.209317166562</v>
      </c>
    </row>
    <row r="110" spans="1:34" s="153" customFormat="1">
      <c r="A110" s="147">
        <v>64</v>
      </c>
      <c r="B110" s="148" t="s">
        <v>68</v>
      </c>
      <c r="C110" s="149">
        <v>29948.649223569453</v>
      </c>
      <c r="D110" s="150">
        <v>13.093705340279103</v>
      </c>
      <c r="E110" s="150">
        <v>9.1508870453095099</v>
      </c>
      <c r="F110" s="150">
        <v>0.74661561369921303</v>
      </c>
      <c r="G110" s="150">
        <v>3.5439608593916199</v>
      </c>
      <c r="H110" s="150">
        <v>1.8691512444160818</v>
      </c>
      <c r="I110" s="150">
        <v>28.404320103095525</v>
      </c>
      <c r="J110" s="149">
        <v>0</v>
      </c>
      <c r="K110" s="149">
        <v>783.40778557753663</v>
      </c>
      <c r="L110" s="149">
        <v>151.96766645394595</v>
      </c>
      <c r="M110" s="149">
        <v>336.18379068283343</v>
      </c>
      <c r="N110" s="149">
        <v>5343.4588385449906</v>
      </c>
      <c r="O110" s="149">
        <v>1316.9112954690493</v>
      </c>
      <c r="P110" s="149">
        <v>283.13124867049561</v>
      </c>
      <c r="Q110" s="149">
        <v>329.24909593703467</v>
      </c>
      <c r="R110" s="149">
        <v>1472.8781110402042</v>
      </c>
      <c r="S110" s="149">
        <f>SUM(J110:R110)</f>
        <v>10017.18783237609</v>
      </c>
      <c r="T110" s="151" t="s">
        <v>24</v>
      </c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</row>
    <row r="111" spans="1:34" s="153" customFormat="1">
      <c r="A111" s="147">
        <v>65</v>
      </c>
      <c r="B111" s="148" t="s">
        <v>187</v>
      </c>
      <c r="C111" s="149">
        <v>0</v>
      </c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49">
        <v>0</v>
      </c>
      <c r="K111" s="149">
        <v>0</v>
      </c>
      <c r="L111" s="149">
        <v>0</v>
      </c>
      <c r="M111" s="149">
        <v>0</v>
      </c>
      <c r="N111" s="149">
        <v>0</v>
      </c>
      <c r="O111" s="149">
        <v>0</v>
      </c>
      <c r="P111" s="149">
        <v>0</v>
      </c>
      <c r="Q111" s="149">
        <v>0</v>
      </c>
      <c r="R111" s="149">
        <v>0</v>
      </c>
      <c r="S111" s="149">
        <f>SUM(J111:R111)</f>
        <v>0</v>
      </c>
      <c r="T111" s="151" t="s">
        <v>24</v>
      </c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4" s="153" customFormat="1" ht="9.75" customHeight="1">
      <c r="A112" s="147"/>
      <c r="B112" s="148"/>
      <c r="C112" s="154"/>
      <c r="D112" s="150"/>
      <c r="E112" s="150"/>
      <c r="F112" s="150"/>
      <c r="G112" s="150"/>
      <c r="H112" s="150"/>
      <c r="I112" s="150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51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</row>
    <row r="113" spans="1:32" s="160" customFormat="1">
      <c r="A113" s="155"/>
      <c r="B113" s="196" t="s">
        <v>344</v>
      </c>
      <c r="C113" s="157">
        <v>931246.22599814995</v>
      </c>
      <c r="D113" s="158">
        <v>776.10473830946432</v>
      </c>
      <c r="E113" s="158">
        <v>158.12666668212935</v>
      </c>
      <c r="F113" s="158">
        <v>1.1464996134180312</v>
      </c>
      <c r="G113" s="158">
        <v>350.50888181381646</v>
      </c>
      <c r="H113" s="158">
        <v>31.398989412745536</v>
      </c>
      <c r="I113" s="158">
        <v>1317.285775831574</v>
      </c>
      <c r="J113" s="145">
        <f>SUM(J114:J117)</f>
        <v>240111</v>
      </c>
      <c r="K113" s="145">
        <f t="shared" ref="K113:R113" si="22">SUM(K114:K117)</f>
        <v>1057.9996432588546</v>
      </c>
      <c r="L113" s="145">
        <f t="shared" si="22"/>
        <v>3596.9987871475428</v>
      </c>
      <c r="M113" s="145">
        <f t="shared" si="22"/>
        <v>115.99996088660409</v>
      </c>
      <c r="N113" s="145">
        <f t="shared" si="22"/>
        <v>100744.96603035284</v>
      </c>
      <c r="O113" s="145">
        <f t="shared" si="22"/>
        <v>227944.92314049113</v>
      </c>
      <c r="P113" s="145">
        <f t="shared" si="22"/>
        <v>4375.9985244808577</v>
      </c>
      <c r="Q113" s="145">
        <f t="shared" si="22"/>
        <v>3973.9986600290054</v>
      </c>
      <c r="R113" s="145">
        <f t="shared" si="22"/>
        <v>183154.93824298252</v>
      </c>
      <c r="S113" s="145">
        <f>SUM(S114:S118)</f>
        <v>765076.82298962923</v>
      </c>
      <c r="T113" s="151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</row>
    <row r="114" spans="1:32" s="153" customFormat="1">
      <c r="A114" s="147">
        <v>66</v>
      </c>
      <c r="B114" s="148" t="s">
        <v>248</v>
      </c>
      <c r="C114" s="149">
        <v>72770.053843306261</v>
      </c>
      <c r="D114" s="150">
        <v>60.646885880573805</v>
      </c>
      <c r="E114" s="150">
        <v>12.356437779049806</v>
      </c>
      <c r="F114" s="150">
        <v>8.9590525331080029E-2</v>
      </c>
      <c r="G114" s="150">
        <v>27.389695109700412</v>
      </c>
      <c r="H114" s="150">
        <v>2.4536004403581178</v>
      </c>
      <c r="I114" s="150">
        <v>102.93620973501322</v>
      </c>
      <c r="J114" s="149">
        <v>2800</v>
      </c>
      <c r="K114" s="149">
        <v>82.674902573294943</v>
      </c>
      <c r="L114" s="149">
        <v>281.07904022319656</v>
      </c>
      <c r="M114" s="149">
        <v>9.0645450836504864</v>
      </c>
      <c r="N114" s="149">
        <v>7872.4792625204163</v>
      </c>
      <c r="O114" s="149">
        <v>17812.221802523363</v>
      </c>
      <c r="P114" s="149">
        <v>341.95214901771141</v>
      </c>
      <c r="Q114" s="149">
        <v>310.53881174506063</v>
      </c>
      <c r="R114" s="149">
        <v>14312.213403413834</v>
      </c>
      <c r="S114" s="149">
        <f>SUM(J114:R114)</f>
        <v>43822.223917100528</v>
      </c>
      <c r="T114" s="151" t="s">
        <v>326</v>
      </c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</row>
    <row r="115" spans="1:32" s="153" customFormat="1">
      <c r="A115" s="147">
        <v>67</v>
      </c>
      <c r="B115" s="148" t="s">
        <v>147</v>
      </c>
      <c r="C115" s="149">
        <v>29058.877846846222</v>
      </c>
      <c r="D115" s="150">
        <v>24.217797782450379</v>
      </c>
      <c r="E115" s="150">
        <v>4.9342304571702957</v>
      </c>
      <c r="F115" s="150">
        <v>3.5775707098368595E-2</v>
      </c>
      <c r="G115" s="150">
        <v>10.937381002478915</v>
      </c>
      <c r="H115" s="150">
        <v>0.97978318986626745</v>
      </c>
      <c r="I115" s="150">
        <v>41.104968139064226</v>
      </c>
      <c r="J115" s="149">
        <v>0</v>
      </c>
      <c r="K115" s="149">
        <v>33.014128312319208</v>
      </c>
      <c r="L115" s="149">
        <v>112.24179540587163</v>
      </c>
      <c r="M115" s="149">
        <v>3.6196964879291382</v>
      </c>
      <c r="N115" s="149">
        <v>3143.6751954863885</v>
      </c>
      <c r="O115" s="149">
        <v>7112.8596201810979</v>
      </c>
      <c r="P115" s="149">
        <v>136.54992957911989</v>
      </c>
      <c r="Q115" s="149">
        <v>124.00580899164133</v>
      </c>
      <c r="R115" s="149">
        <v>5715.2199159194934</v>
      </c>
      <c r="S115" s="149">
        <f>SUM(J115:R115)</f>
        <v>16381.186090363861</v>
      </c>
      <c r="T115" s="151" t="s">
        <v>326</v>
      </c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</row>
    <row r="116" spans="1:32" s="153" customFormat="1">
      <c r="A116" s="147">
        <v>68</v>
      </c>
      <c r="B116" s="148" t="s">
        <v>104</v>
      </c>
      <c r="C116" s="149">
        <v>802858.33462885791</v>
      </c>
      <c r="D116" s="150">
        <v>669.10569976145064</v>
      </c>
      <c r="E116" s="150">
        <v>136.32625693248079</v>
      </c>
      <c r="F116" s="150">
        <v>0.98843543692735292</v>
      </c>
      <c r="G116" s="150">
        <v>302.18536115304795</v>
      </c>
      <c r="H116" s="150">
        <v>27.070112764136027</v>
      </c>
      <c r="I116" s="150">
        <v>1135.675866048043</v>
      </c>
      <c r="J116" s="149">
        <v>237191</v>
      </c>
      <c r="K116" s="149">
        <v>912.13667009955452</v>
      </c>
      <c r="L116" s="149">
        <v>3101.0922517467843</v>
      </c>
      <c r="M116" s="149">
        <v>100.00742318671864</v>
      </c>
      <c r="N116" s="149">
        <v>86855.584904706644</v>
      </c>
      <c r="O116" s="149">
        <v>196518.89722669468</v>
      </c>
      <c r="P116" s="149">
        <v>3772.6938264231098</v>
      </c>
      <c r="Q116" s="149">
        <v>3426.1163771036195</v>
      </c>
      <c r="R116" s="149">
        <v>157903.96201520218</v>
      </c>
      <c r="S116" s="149">
        <f>SUM(J116:R116)</f>
        <v>689781.49069516326</v>
      </c>
      <c r="T116" s="151" t="s">
        <v>327</v>
      </c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</row>
    <row r="117" spans="1:32" s="153" customFormat="1">
      <c r="A117" s="147">
        <v>69</v>
      </c>
      <c r="B117" s="148" t="s">
        <v>30</v>
      </c>
      <c r="C117" s="149">
        <v>26558.9596791396</v>
      </c>
      <c r="D117" s="150">
        <v>22.134354884989573</v>
      </c>
      <c r="E117" s="150">
        <v>4.5097415134284402</v>
      </c>
      <c r="F117" s="150">
        <v>3.2697944061229535E-2</v>
      </c>
      <c r="G117" s="150">
        <v>9.9964445485891851</v>
      </c>
      <c r="H117" s="150">
        <v>0.89549301838512529</v>
      </c>
      <c r="I117" s="150">
        <v>37.568731909453561</v>
      </c>
      <c r="J117" s="149">
        <v>120</v>
      </c>
      <c r="K117" s="149">
        <v>30.173942273685864</v>
      </c>
      <c r="L117" s="149">
        <v>102.58569977169003</v>
      </c>
      <c r="M117" s="149">
        <v>3.3082961283058228</v>
      </c>
      <c r="N117" s="149">
        <v>2873.2266676393974</v>
      </c>
      <c r="O117" s="149">
        <v>6500.9444910919892</v>
      </c>
      <c r="P117" s="149">
        <v>124.8026194609162</v>
      </c>
      <c r="Q117" s="149">
        <v>113.33766218868395</v>
      </c>
      <c r="R117" s="149">
        <v>5223.5429084470079</v>
      </c>
      <c r="S117" s="149">
        <f>SUM(J117:R117)</f>
        <v>15091.922287001675</v>
      </c>
      <c r="T117" s="151" t="s">
        <v>326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</row>
    <row r="118" spans="1:32" s="153" customFormat="1">
      <c r="A118" s="147">
        <v>70</v>
      </c>
      <c r="B118" s="148" t="s">
        <v>170</v>
      </c>
      <c r="C118" s="149">
        <v>0</v>
      </c>
      <c r="D118" s="150">
        <v>0</v>
      </c>
      <c r="E118" s="150">
        <v>0</v>
      </c>
      <c r="F118" s="150">
        <v>0</v>
      </c>
      <c r="G118" s="150">
        <v>0</v>
      </c>
      <c r="H118" s="150">
        <v>0</v>
      </c>
      <c r="I118" s="150">
        <v>0</v>
      </c>
      <c r="J118" s="149">
        <v>0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>
        <v>0</v>
      </c>
      <c r="Q118" s="149">
        <v>0</v>
      </c>
      <c r="R118" s="149">
        <v>0</v>
      </c>
      <c r="S118" s="149">
        <f>SUM(J118:R118)</f>
        <v>0</v>
      </c>
      <c r="T118" s="151" t="s">
        <v>24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</row>
    <row r="119" spans="1:32" s="153" customFormat="1" ht="9.75" customHeight="1">
      <c r="A119" s="147"/>
      <c r="B119" s="148"/>
      <c r="C119" s="149"/>
      <c r="D119" s="150"/>
      <c r="E119" s="150"/>
      <c r="F119" s="150"/>
      <c r="G119" s="150"/>
      <c r="H119" s="150"/>
      <c r="I119" s="150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51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</row>
    <row r="120" spans="1:32" s="160" customFormat="1">
      <c r="A120" s="155"/>
      <c r="B120" s="196" t="s">
        <v>345</v>
      </c>
      <c r="C120" s="157">
        <v>1068378.8500000001</v>
      </c>
      <c r="D120" s="158">
        <v>523.26464047149648</v>
      </c>
      <c r="E120" s="158">
        <v>20.773850000000003</v>
      </c>
      <c r="F120" s="158">
        <v>0.30299999999999999</v>
      </c>
      <c r="G120" s="158">
        <v>37.649999999999991</v>
      </c>
      <c r="H120" s="158">
        <v>13.21</v>
      </c>
      <c r="I120" s="158">
        <v>595.20149047149653</v>
      </c>
      <c r="J120" s="145">
        <f>SUM(J121:J125)</f>
        <v>373994</v>
      </c>
      <c r="K120" s="145">
        <f t="shared" ref="K120:R120" si="23">SUM(K121:K125)</f>
        <v>5948</v>
      </c>
      <c r="L120" s="145">
        <f t="shared" si="23"/>
        <v>4382</v>
      </c>
      <c r="M120" s="145">
        <f t="shared" si="23"/>
        <v>125.99999999999999</v>
      </c>
      <c r="N120" s="145">
        <f t="shared" si="23"/>
        <v>35703</v>
      </c>
      <c r="O120" s="145">
        <f t="shared" si="23"/>
        <v>191154.00000000006</v>
      </c>
      <c r="P120" s="145">
        <f t="shared" si="23"/>
        <v>7299</v>
      </c>
      <c r="Q120" s="145">
        <f t="shared" si="23"/>
        <v>2107</v>
      </c>
      <c r="R120" s="145">
        <f t="shared" si="23"/>
        <v>8252</v>
      </c>
      <c r="S120" s="145">
        <f>SUM(S121:S125)</f>
        <v>628964.99999999988</v>
      </c>
      <c r="T120" s="151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</row>
    <row r="121" spans="1:32" s="153" customFormat="1">
      <c r="A121" s="147">
        <v>71</v>
      </c>
      <c r="B121" s="148" t="s">
        <v>79</v>
      </c>
      <c r="C121" s="149">
        <v>98908.357056441004</v>
      </c>
      <c r="D121" s="150">
        <v>48.442784031867532</v>
      </c>
      <c r="E121" s="150">
        <v>1.9232010941034137</v>
      </c>
      <c r="F121" s="150">
        <v>2.8051128294145487E-2</v>
      </c>
      <c r="G121" s="150">
        <v>3.4855609910052063</v>
      </c>
      <c r="H121" s="150">
        <v>1.2229551312398084</v>
      </c>
      <c r="I121" s="150">
        <v>55.102552376510118</v>
      </c>
      <c r="J121" s="149">
        <v>17487</v>
      </c>
      <c r="K121" s="149">
        <v>550.6538319920046</v>
      </c>
      <c r="L121" s="149">
        <v>405.67671348166846</v>
      </c>
      <c r="M121" s="149">
        <v>11.664825627268423</v>
      </c>
      <c r="N121" s="149">
        <v>3305.3116616695593</v>
      </c>
      <c r="O121" s="149">
        <v>17696.651412340223</v>
      </c>
      <c r="P121" s="149">
        <v>675.72668455104929</v>
      </c>
      <c r="Q121" s="149">
        <v>195.06180632265529</v>
      </c>
      <c r="R121" s="149">
        <v>763.95350060491285</v>
      </c>
      <c r="S121" s="149">
        <f>SUM(J121:R121)</f>
        <v>41091.700436589337</v>
      </c>
      <c r="T121" s="151" t="s">
        <v>326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</row>
    <row r="122" spans="1:32" s="153" customFormat="1">
      <c r="A122" s="147">
        <v>72</v>
      </c>
      <c r="B122" s="148" t="s">
        <v>149</v>
      </c>
      <c r="C122" s="149">
        <v>416848.1468557677</v>
      </c>
      <c r="D122" s="150">
        <v>204.16156281612353</v>
      </c>
      <c r="E122" s="150">
        <v>8.1053091565409492</v>
      </c>
      <c r="F122" s="150">
        <v>0.11822116143285463</v>
      </c>
      <c r="G122" s="150">
        <v>14.689857187943817</v>
      </c>
      <c r="H122" s="150">
        <v>5.1541305033927722</v>
      </c>
      <c r="I122" s="150">
        <v>232.22908082543395</v>
      </c>
      <c r="J122" s="149">
        <v>124480.00000000001</v>
      </c>
      <c r="K122" s="149">
        <v>2320.7243175003941</v>
      </c>
      <c r="L122" s="149">
        <v>1709.7198990058384</v>
      </c>
      <c r="M122" s="149">
        <v>49.16127505128609</v>
      </c>
      <c r="N122" s="149">
        <v>13930.198437746565</v>
      </c>
      <c r="O122" s="149">
        <v>74582.336278996372</v>
      </c>
      <c r="P122" s="149">
        <v>2847.8424333280727</v>
      </c>
      <c r="Q122" s="149">
        <v>822.08576613539515</v>
      </c>
      <c r="R122" s="149">
        <v>3219.6733470096256</v>
      </c>
      <c r="S122" s="149">
        <f>SUM(J122:R122)</f>
        <v>223961.74175477357</v>
      </c>
      <c r="T122" s="151" t="s">
        <v>327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</row>
    <row r="123" spans="1:32" s="153" customFormat="1">
      <c r="A123" s="147">
        <v>73</v>
      </c>
      <c r="B123" s="148" t="s">
        <v>219</v>
      </c>
      <c r="C123" s="149">
        <v>55425.208606201675</v>
      </c>
      <c r="D123" s="150">
        <v>27.145849858766681</v>
      </c>
      <c r="E123" s="150">
        <v>1.0777028858292568</v>
      </c>
      <c r="F123" s="150">
        <v>1.5718991636421018E-2</v>
      </c>
      <c r="G123" s="150">
        <v>1.9532014360107302</v>
      </c>
      <c r="H123" s="150">
        <v>0.68530653305980749</v>
      </c>
      <c r="I123" s="150">
        <v>30.877779705302903</v>
      </c>
      <c r="J123" s="149">
        <v>11634</v>
      </c>
      <c r="K123" s="149">
        <v>308.56951238756511</v>
      </c>
      <c r="L123" s="149">
        <v>227.32878333596338</v>
      </c>
      <c r="M123" s="149">
        <v>6.5366103834622056</v>
      </c>
      <c r="N123" s="149">
        <v>1852.1952422281834</v>
      </c>
      <c r="O123" s="149">
        <v>9916.6604860344014</v>
      </c>
      <c r="P123" s="149">
        <v>378.65650149913205</v>
      </c>
      <c r="Q123" s="149">
        <v>109.30665141234022</v>
      </c>
      <c r="R123" s="149">
        <v>428.09610225658827</v>
      </c>
      <c r="S123" s="149">
        <f>SUM(J123:R123)</f>
        <v>24861.349889537632</v>
      </c>
      <c r="T123" s="151" t="s">
        <v>326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</row>
    <row r="124" spans="1:32" s="153" customFormat="1">
      <c r="A124" s="147">
        <v>74</v>
      </c>
      <c r="B124" s="148" t="s">
        <v>216</v>
      </c>
      <c r="C124" s="149">
        <v>477527.86193059292</v>
      </c>
      <c r="D124" s="150">
        <v>233.88093557658323</v>
      </c>
      <c r="E124" s="150">
        <v>9.2851821004944526</v>
      </c>
      <c r="F124" s="150">
        <v>0.13543036925990218</v>
      </c>
      <c r="G124" s="150">
        <v>16.828229051601703</v>
      </c>
      <c r="H124" s="150">
        <v>5.9044065277996962</v>
      </c>
      <c r="I124" s="150">
        <v>266.03418362573905</v>
      </c>
      <c r="J124" s="149">
        <v>220392.99999999997</v>
      </c>
      <c r="K124" s="149">
        <v>2658.5473147125354</v>
      </c>
      <c r="L124" s="149">
        <v>1958.600257745516</v>
      </c>
      <c r="M124" s="149">
        <v>56.317579296196946</v>
      </c>
      <c r="N124" s="149">
        <v>15957.988362000948</v>
      </c>
      <c r="O124" s="149">
        <v>85439.131371311363</v>
      </c>
      <c r="P124" s="149">
        <v>3262.3969149439799</v>
      </c>
      <c r="Q124" s="149">
        <v>941.7550760086267</v>
      </c>
      <c r="R124" s="149">
        <v>3688.3544789858506</v>
      </c>
      <c r="S124" s="149">
        <f>SUM(J124:R124)</f>
        <v>334356.09135500493</v>
      </c>
      <c r="T124" s="151" t="s">
        <v>327</v>
      </c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</row>
    <row r="125" spans="1:32" s="153" customFormat="1">
      <c r="A125" s="147"/>
      <c r="B125" s="148" t="s">
        <v>104</v>
      </c>
      <c r="C125" s="149">
        <v>19669.275550996794</v>
      </c>
      <c r="D125" s="150">
        <v>9.633508188155476</v>
      </c>
      <c r="E125" s="150">
        <v>0.38245476303192893</v>
      </c>
      <c r="F125" s="150">
        <v>5.5783493766766602E-3</v>
      </c>
      <c r="G125" s="150">
        <v>0.69315133343853552</v>
      </c>
      <c r="H125" s="150">
        <v>0.24320130450791649</v>
      </c>
      <c r="I125" s="150">
        <v>10.957893938510535</v>
      </c>
      <c r="J125" s="149">
        <v>0</v>
      </c>
      <c r="K125" s="149">
        <v>109.50502340750093</v>
      </c>
      <c r="L125" s="149">
        <v>80.674346431013632</v>
      </c>
      <c r="M125" s="149">
        <v>2.3197096417863343</v>
      </c>
      <c r="N125" s="149">
        <v>657.30629635474202</v>
      </c>
      <c r="O125" s="149">
        <v>3519.2204513176584</v>
      </c>
      <c r="P125" s="149">
        <v>134.37746567776551</v>
      </c>
      <c r="Q125" s="149">
        <v>38.790700120982592</v>
      </c>
      <c r="R125" s="149">
        <v>151.92257114302245</v>
      </c>
      <c r="S125" s="149">
        <f>SUM(J125:R125)</f>
        <v>4694.1165640944728</v>
      </c>
      <c r="T125" s="151" t="s">
        <v>327</v>
      </c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</row>
    <row r="126" spans="1:32" s="153" customFormat="1" ht="9.75" customHeight="1">
      <c r="A126" s="147"/>
      <c r="B126" s="148"/>
      <c r="C126" s="154"/>
      <c r="D126" s="150"/>
      <c r="E126" s="150"/>
      <c r="F126" s="150"/>
      <c r="G126" s="150"/>
      <c r="H126" s="150"/>
      <c r="I126" s="150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51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</row>
    <row r="127" spans="1:32" s="160" customFormat="1">
      <c r="A127" s="155"/>
      <c r="B127" s="196" t="s">
        <v>346</v>
      </c>
      <c r="C127" s="157">
        <v>606668</v>
      </c>
      <c r="D127" s="158">
        <v>366.45011599999987</v>
      </c>
      <c r="E127" s="158">
        <v>18.872299999999989</v>
      </c>
      <c r="F127" s="158">
        <v>5.4300000000000006</v>
      </c>
      <c r="G127" s="158">
        <v>702.5</v>
      </c>
      <c r="H127" s="158">
        <v>10.860000000000001</v>
      </c>
      <c r="I127" s="158">
        <v>1104.1124159999995</v>
      </c>
      <c r="J127" s="145">
        <f>SUM(J128:J130)</f>
        <v>215235</v>
      </c>
      <c r="K127" s="145">
        <f t="shared" ref="K127:R127" si="24">SUM(K128:K130)</f>
        <v>1850</v>
      </c>
      <c r="L127" s="145">
        <f t="shared" si="24"/>
        <v>629</v>
      </c>
      <c r="M127" s="145">
        <f t="shared" si="24"/>
        <v>0</v>
      </c>
      <c r="N127" s="145">
        <f t="shared" si="24"/>
        <v>48509.000000000007</v>
      </c>
      <c r="O127" s="145">
        <f t="shared" si="24"/>
        <v>77267</v>
      </c>
      <c r="P127" s="145">
        <f t="shared" si="24"/>
        <v>182</v>
      </c>
      <c r="Q127" s="145">
        <f t="shared" si="24"/>
        <v>20</v>
      </c>
      <c r="R127" s="145">
        <f t="shared" si="24"/>
        <v>37283</v>
      </c>
      <c r="S127" s="145">
        <f>SUM(S128:S130)</f>
        <v>380975.00000000006</v>
      </c>
      <c r="T127" s="151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</row>
    <row r="128" spans="1:32" s="153" customFormat="1">
      <c r="A128" s="147">
        <v>75</v>
      </c>
      <c r="B128" s="148" t="s">
        <v>135</v>
      </c>
      <c r="C128" s="149">
        <v>291858.29955896799</v>
      </c>
      <c r="D128" s="150">
        <v>176.29330660088635</v>
      </c>
      <c r="E128" s="150">
        <v>9.0791625514559993</v>
      </c>
      <c r="F128" s="150">
        <v>2.6122864014670237</v>
      </c>
      <c r="G128" s="150">
        <v>337.96154641447214</v>
      </c>
      <c r="H128" s="150">
        <v>5.2245728029340475</v>
      </c>
      <c r="I128" s="150">
        <v>531.17087477121549</v>
      </c>
      <c r="J128" s="149">
        <v>172200</v>
      </c>
      <c r="K128" s="149">
        <v>890.00549589576303</v>
      </c>
      <c r="L128" s="149">
        <v>302.6018686045594</v>
      </c>
      <c r="M128" s="149">
        <v>0</v>
      </c>
      <c r="N128" s="149">
        <v>23336.906270490581</v>
      </c>
      <c r="O128" s="149">
        <v>37171.921433177253</v>
      </c>
      <c r="P128" s="149">
        <v>87.557297434069653</v>
      </c>
      <c r="Q128" s="149">
        <v>9.6216810367109513</v>
      </c>
      <c r="R128" s="149">
        <v>17936.256704584721</v>
      </c>
      <c r="S128" s="149">
        <f>SUM(J128:R128)</f>
        <v>251934.8707512237</v>
      </c>
      <c r="T128" s="151" t="s">
        <v>327</v>
      </c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</row>
    <row r="129" spans="1:32" s="153" customFormat="1">
      <c r="A129" s="147">
        <v>76</v>
      </c>
      <c r="B129" s="148" t="s">
        <v>181</v>
      </c>
      <c r="C129" s="149">
        <v>171.66096308771395</v>
      </c>
      <c r="D129" s="150">
        <v>0.10368962898350412</v>
      </c>
      <c r="E129" s="150">
        <v>5.3400495718914824E-3</v>
      </c>
      <c r="F129" s="150">
        <v>1.536456562017919E-3</v>
      </c>
      <c r="G129" s="150">
        <v>0.19877729922975834</v>
      </c>
      <c r="H129" s="150">
        <v>3.0729131240358381E-3</v>
      </c>
      <c r="I129" s="150">
        <v>0.31241634747120767</v>
      </c>
      <c r="J129" s="149">
        <v>0</v>
      </c>
      <c r="K129" s="149">
        <v>0.52347046772249528</v>
      </c>
      <c r="L129" s="149">
        <v>0.17797995902564842</v>
      </c>
      <c r="M129" s="149">
        <v>0</v>
      </c>
      <c r="N129" s="149">
        <v>13.725961577702989</v>
      </c>
      <c r="O129" s="149">
        <v>21.863239259196781</v>
      </c>
      <c r="P129" s="149">
        <v>5.1498175743510351E-2</v>
      </c>
      <c r="Q129" s="149">
        <v>5.6591401915945441E-3</v>
      </c>
      <c r="R129" s="149">
        <v>10.549486188160969</v>
      </c>
      <c r="S129" s="149">
        <f>SUM(J129:R129)</f>
        <v>46.897294767743993</v>
      </c>
      <c r="T129" s="151" t="s">
        <v>327</v>
      </c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</row>
    <row r="130" spans="1:32" s="153" customFormat="1">
      <c r="A130" s="147">
        <v>77</v>
      </c>
      <c r="B130" s="148" t="s">
        <v>115</v>
      </c>
      <c r="C130" s="149">
        <v>314638.03947794432</v>
      </c>
      <c r="D130" s="150">
        <v>190.05311977013</v>
      </c>
      <c r="E130" s="150">
        <v>9.7877973989720974</v>
      </c>
      <c r="F130" s="150">
        <v>2.8161771419709591</v>
      </c>
      <c r="G130" s="150">
        <v>364.33967628629807</v>
      </c>
      <c r="H130" s="150">
        <v>5.6323542839419183</v>
      </c>
      <c r="I130" s="150">
        <v>572.62912488131292</v>
      </c>
      <c r="J130" s="149">
        <v>43035</v>
      </c>
      <c r="K130" s="149">
        <v>959.47103363651445</v>
      </c>
      <c r="L130" s="149">
        <v>326.22015143641494</v>
      </c>
      <c r="M130" s="149">
        <v>0</v>
      </c>
      <c r="N130" s="149">
        <v>25158.367767931722</v>
      </c>
      <c r="O130" s="149">
        <v>40073.215327563543</v>
      </c>
      <c r="P130" s="149">
        <v>94.391204390186829</v>
      </c>
      <c r="Q130" s="149">
        <v>10.372659823097454</v>
      </c>
      <c r="R130" s="149">
        <v>19336.193809227119</v>
      </c>
      <c r="S130" s="149">
        <f>SUM(J130:R130)</f>
        <v>128993.2319540086</v>
      </c>
      <c r="T130" s="151" t="s">
        <v>327</v>
      </c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</row>
    <row r="131" spans="1:32" ht="9.75" customHeight="1">
      <c r="A131" s="169"/>
      <c r="B131" s="170"/>
      <c r="C131" s="171"/>
      <c r="D131" s="172"/>
      <c r="E131" s="172"/>
      <c r="F131" s="172"/>
      <c r="G131" s="172"/>
      <c r="H131" s="172"/>
      <c r="I131" s="172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4"/>
    </row>
    <row r="132" spans="1:32" s="137" customFormat="1">
      <c r="A132" s="175"/>
      <c r="B132" s="176" t="s">
        <v>23</v>
      </c>
      <c r="C132" s="177">
        <v>23801914.716093015</v>
      </c>
      <c r="D132" s="178">
        <v>21594.789464302503</v>
      </c>
      <c r="E132" s="178">
        <v>1519.4558962367598</v>
      </c>
      <c r="F132" s="178">
        <v>308.0349905602996</v>
      </c>
      <c r="G132" s="178">
        <v>2349.4587827559635</v>
      </c>
      <c r="H132" s="178">
        <v>1558.4877329232361</v>
      </c>
      <c r="I132" s="178">
        <v>27329.826644767494</v>
      </c>
      <c r="J132" s="177">
        <f t="shared" ref="J132:Q132" si="25">J127+J120+J113+J107+J98+J90+J78+J68+J58+J52+J44+J37+J29+J23+J17+J11+J6</f>
        <v>15883668.696633307</v>
      </c>
      <c r="K132" s="177">
        <f t="shared" si="25"/>
        <v>276355.99964325887</v>
      </c>
      <c r="L132" s="177">
        <f t="shared" si="25"/>
        <v>185378.99878714755</v>
      </c>
      <c r="M132" s="177">
        <f t="shared" si="25"/>
        <v>918257.99996088655</v>
      </c>
      <c r="N132" s="177">
        <f t="shared" si="25"/>
        <v>1092439.9660303527</v>
      </c>
      <c r="O132" s="177">
        <f t="shared" si="25"/>
        <v>1205647.5231404912</v>
      </c>
      <c r="P132" s="177">
        <f t="shared" si="25"/>
        <v>482220.99852448085</v>
      </c>
      <c r="Q132" s="177">
        <f t="shared" si="25"/>
        <v>300937.99866002903</v>
      </c>
      <c r="R132" s="177">
        <f>R127+R120+R113+R107+R98+R90+R78+R68+R58+R52+R44+R37+R29+R23+R17+R11+R6</f>
        <v>452030.0682429825</v>
      </c>
      <c r="S132" s="177">
        <f>S127+S120+S113+S107+S98+S90+S78+S68+S58+S52+S44+S37+S29+S23+S17+S11+S6</f>
        <v>20796938.249622937</v>
      </c>
      <c r="T132" s="174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</row>
    <row r="134" spans="1:32">
      <c r="C134" s="186"/>
      <c r="D134" s="186"/>
      <c r="E134" s="186"/>
      <c r="F134" s="186"/>
      <c r="G134" s="186"/>
      <c r="H134" s="186"/>
      <c r="I134" s="186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</row>
    <row r="135" spans="1:32" s="131" customFormat="1">
      <c r="A135" s="182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179"/>
    </row>
    <row r="136" spans="1:32" s="131" customFormat="1">
      <c r="A136" s="182"/>
      <c r="C136" s="47"/>
      <c r="D136" s="47"/>
      <c r="E136" s="47"/>
      <c r="F136" s="47"/>
      <c r="G136" s="47"/>
      <c r="H136" s="47"/>
      <c r="I136" s="47"/>
      <c r="J136" s="183"/>
      <c r="K136" s="47"/>
      <c r="L136" s="47"/>
      <c r="M136" s="47"/>
      <c r="N136" s="47"/>
      <c r="O136" s="47"/>
      <c r="P136" s="47"/>
      <c r="Q136" s="47"/>
      <c r="R136" s="47"/>
      <c r="S136" s="47"/>
      <c r="T136" s="179"/>
    </row>
    <row r="137" spans="1:32" s="181" customFormat="1">
      <c r="A137" s="184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0"/>
    </row>
    <row r="138" spans="1:32" s="131" customFormat="1">
      <c r="A138" s="182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79"/>
    </row>
    <row r="139" spans="1:32" s="131" customFormat="1">
      <c r="A139" s="182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79"/>
    </row>
  </sheetData>
  <mergeCells count="22">
    <mergeCell ref="A3:A5"/>
    <mergeCell ref="B3:B5"/>
    <mergeCell ref="C3:C5"/>
    <mergeCell ref="D3:I3"/>
    <mergeCell ref="J3:S3"/>
    <mergeCell ref="O4:O5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T3:T5"/>
    <mergeCell ref="S4:S5"/>
    <mergeCell ref="R4:R5"/>
    <mergeCell ref="Q4:Q5"/>
    <mergeCell ref="P4:P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5" fitToHeight="0" orientation="landscape" verticalDpi="1200" r:id="rId1"/>
  <rowBreaks count="3" manualBreakCount="3">
    <brk id="43" max="20" man="1"/>
    <brk id="77" max="20" man="1"/>
    <brk id="9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3:S24"/>
  <sheetViews>
    <sheetView workbookViewId="0">
      <selection activeCell="B20" sqref="B20:R20"/>
    </sheetView>
  </sheetViews>
  <sheetFormatPr defaultRowHeight="12.75"/>
  <cols>
    <col min="1" max="1" width="10.5703125" customWidth="1"/>
    <col min="2" max="2" width="18.42578125" customWidth="1"/>
    <col min="3" max="3" width="12.5703125" customWidth="1"/>
    <col min="4" max="5" width="13.5703125" customWidth="1"/>
    <col min="6" max="6" width="12" customWidth="1"/>
    <col min="7" max="8" width="12" bestFit="1" customWidth="1"/>
    <col min="9" max="9" width="13.5703125" customWidth="1"/>
    <col min="10" max="10" width="11.7109375" customWidth="1"/>
    <col min="11" max="11" width="12.140625" customWidth="1"/>
    <col min="12" max="12" width="11.28515625" bestFit="1" customWidth="1"/>
    <col min="13" max="13" width="11.85546875" customWidth="1"/>
    <col min="14" max="14" width="14.28515625" customWidth="1"/>
    <col min="15" max="15" width="12.85546875" customWidth="1"/>
    <col min="16" max="16" width="11.7109375" customWidth="1"/>
    <col min="17" max="17" width="11.5703125" customWidth="1"/>
    <col min="18" max="18" width="12.85546875" bestFit="1" customWidth="1"/>
    <col min="19" max="19" width="10.5703125" customWidth="1"/>
  </cols>
  <sheetData>
    <row r="3" spans="1:19">
      <c r="A3" s="8"/>
      <c r="B3" s="9" t="s">
        <v>278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>
      <c r="A4" s="9" t="s">
        <v>296</v>
      </c>
      <c r="B4" s="8" t="s">
        <v>321</v>
      </c>
      <c r="C4" s="18" t="s">
        <v>279</v>
      </c>
      <c r="D4" s="18" t="s">
        <v>280</v>
      </c>
      <c r="E4" s="18" t="s">
        <v>281</v>
      </c>
      <c r="F4" s="18" t="s">
        <v>282</v>
      </c>
      <c r="G4" s="18" t="s">
        <v>283</v>
      </c>
      <c r="H4" s="18" t="s">
        <v>284</v>
      </c>
      <c r="I4" s="18" t="s">
        <v>285</v>
      </c>
      <c r="J4" s="18" t="s">
        <v>286</v>
      </c>
      <c r="K4" s="18" t="s">
        <v>287</v>
      </c>
      <c r="L4" s="18" t="s">
        <v>288</v>
      </c>
      <c r="M4" s="18" t="s">
        <v>289</v>
      </c>
      <c r="N4" s="18" t="s">
        <v>290</v>
      </c>
      <c r="O4" s="18" t="s">
        <v>291</v>
      </c>
      <c r="P4" s="18" t="s">
        <v>292</v>
      </c>
      <c r="Q4" s="18" t="s">
        <v>293</v>
      </c>
      <c r="R4" s="18" t="s">
        <v>294</v>
      </c>
      <c r="S4" s="19" t="s">
        <v>359</v>
      </c>
    </row>
    <row r="5" spans="1:19">
      <c r="A5" s="8" t="s">
        <v>297</v>
      </c>
      <c r="B5" s="27">
        <v>5760192.6200000001</v>
      </c>
      <c r="C5" s="28">
        <v>6002.9198825339481</v>
      </c>
      <c r="D5" s="28">
        <v>254.59328571428571</v>
      </c>
      <c r="E5" s="28">
        <v>19.787999999999997</v>
      </c>
      <c r="F5" s="28">
        <v>280.96699999999998</v>
      </c>
      <c r="G5" s="28">
        <v>2.7499999999999996</v>
      </c>
      <c r="H5" s="28">
        <v>6561.0181682482344</v>
      </c>
      <c r="I5" s="28">
        <v>4497176.4000000004</v>
      </c>
      <c r="J5" s="28">
        <v>24540</v>
      </c>
      <c r="K5" s="28">
        <v>29849</v>
      </c>
      <c r="L5" s="28">
        <v>64560</v>
      </c>
      <c r="M5" s="28">
        <v>176548</v>
      </c>
      <c r="N5" s="28">
        <v>21329</v>
      </c>
      <c r="O5" s="28">
        <v>136835</v>
      </c>
      <c r="P5" s="28">
        <v>71360</v>
      </c>
      <c r="Q5" s="28">
        <v>68451</v>
      </c>
      <c r="R5" s="28">
        <v>5090648.4000000004</v>
      </c>
      <c r="S5" s="33">
        <v>0</v>
      </c>
    </row>
    <row r="6" spans="1:19">
      <c r="A6" s="10" t="s">
        <v>298</v>
      </c>
      <c r="B6" s="29">
        <v>772118</v>
      </c>
      <c r="C6" s="30">
        <v>799.90006731742938</v>
      </c>
      <c r="D6" s="30">
        <v>2.9440000000000022</v>
      </c>
      <c r="E6" s="30">
        <v>0.20239999999999941</v>
      </c>
      <c r="F6" s="30">
        <v>0</v>
      </c>
      <c r="G6" s="30">
        <v>75</v>
      </c>
      <c r="H6" s="30">
        <v>878.04646731742946</v>
      </c>
      <c r="I6" s="30">
        <v>655809</v>
      </c>
      <c r="J6" s="30">
        <v>6987</v>
      </c>
      <c r="K6" s="30">
        <v>0</v>
      </c>
      <c r="L6" s="30">
        <v>19281</v>
      </c>
      <c r="M6" s="30">
        <v>38227</v>
      </c>
      <c r="N6" s="30">
        <v>3270</v>
      </c>
      <c r="O6" s="30">
        <v>25626</v>
      </c>
      <c r="P6" s="30">
        <v>4028</v>
      </c>
      <c r="Q6" s="30">
        <v>8895</v>
      </c>
      <c r="R6" s="30">
        <v>762123</v>
      </c>
      <c r="S6" s="34">
        <v>0</v>
      </c>
    </row>
    <row r="7" spans="1:19">
      <c r="A7" s="10" t="s">
        <v>299</v>
      </c>
      <c r="B7" s="29">
        <v>404000</v>
      </c>
      <c r="C7" s="30">
        <v>570</v>
      </c>
      <c r="D7" s="30">
        <v>20</v>
      </c>
      <c r="E7" s="30">
        <v>1</v>
      </c>
      <c r="F7" s="30">
        <v>45</v>
      </c>
      <c r="G7" s="30">
        <v>0</v>
      </c>
      <c r="H7" s="30">
        <v>636</v>
      </c>
      <c r="I7" s="30">
        <v>234500</v>
      </c>
      <c r="J7" s="30">
        <v>0</v>
      </c>
      <c r="K7" s="30">
        <v>0</v>
      </c>
      <c r="L7" s="30">
        <v>0</v>
      </c>
      <c r="M7" s="30">
        <v>8531</v>
      </c>
      <c r="N7" s="30">
        <v>0</v>
      </c>
      <c r="O7" s="30">
        <v>100907</v>
      </c>
      <c r="P7" s="30">
        <v>48996</v>
      </c>
      <c r="Q7" s="30">
        <v>8241</v>
      </c>
      <c r="R7" s="30">
        <v>401175</v>
      </c>
      <c r="S7" s="34">
        <v>0</v>
      </c>
    </row>
    <row r="8" spans="1:19">
      <c r="A8" s="10" t="s">
        <v>300</v>
      </c>
      <c r="B8" s="29">
        <v>2848290</v>
      </c>
      <c r="C8" s="30">
        <v>2537.5487906249418</v>
      </c>
      <c r="D8" s="30">
        <v>1.8669081073516118</v>
      </c>
      <c r="E8" s="30">
        <v>7.5474015374706716E-2</v>
      </c>
      <c r="F8" s="30">
        <v>7.9462642147489229</v>
      </c>
      <c r="G8" s="30">
        <v>255.41856303758274</v>
      </c>
      <c r="H8" s="30">
        <v>2802.8559999999998</v>
      </c>
      <c r="I8" s="30">
        <v>2213369</v>
      </c>
      <c r="J8" s="30">
        <v>13646</v>
      </c>
      <c r="K8" s="30">
        <v>513</v>
      </c>
      <c r="L8" s="30">
        <v>303888</v>
      </c>
      <c r="M8" s="30">
        <v>29812</v>
      </c>
      <c r="N8" s="30">
        <v>17199.599999999999</v>
      </c>
      <c r="O8" s="30">
        <v>920</v>
      </c>
      <c r="P8" s="30">
        <v>0</v>
      </c>
      <c r="Q8" s="30">
        <v>15776.13</v>
      </c>
      <c r="R8" s="30">
        <v>2595123.73</v>
      </c>
      <c r="S8" s="34">
        <v>0</v>
      </c>
    </row>
    <row r="9" spans="1:19">
      <c r="A9" s="10" t="s">
        <v>320</v>
      </c>
      <c r="B9" s="29">
        <v>7535592.6200000001</v>
      </c>
      <c r="C9" s="30">
        <v>7772.0474168202491</v>
      </c>
      <c r="D9" s="30">
        <v>79.321908107351618</v>
      </c>
      <c r="E9" s="30">
        <v>20.86347401537471</v>
      </c>
      <c r="F9" s="30">
        <v>277.91326421474889</v>
      </c>
      <c r="G9" s="30">
        <v>258.16856303758277</v>
      </c>
      <c r="H9" s="30">
        <v>8408.3146261953061</v>
      </c>
      <c r="I9" s="30">
        <v>5653063.4000000004</v>
      </c>
      <c r="J9" s="30">
        <v>37731</v>
      </c>
      <c r="K9" s="30">
        <v>30362</v>
      </c>
      <c r="L9" s="30">
        <v>333907</v>
      </c>
      <c r="M9" s="30">
        <v>192891</v>
      </c>
      <c r="N9" s="30">
        <v>38528.6</v>
      </c>
      <c r="O9" s="30">
        <v>234225</v>
      </c>
      <c r="P9" s="30">
        <v>113796</v>
      </c>
      <c r="Q9" s="30">
        <v>92328.13</v>
      </c>
      <c r="R9" s="30">
        <v>6726832.1300000008</v>
      </c>
      <c r="S9" s="34"/>
    </row>
    <row r="10" spans="1:19">
      <c r="A10" s="10" t="s">
        <v>276</v>
      </c>
      <c r="B10" s="29">
        <v>2249008</v>
      </c>
      <c r="C10" s="30">
        <v>2138.3213236560696</v>
      </c>
      <c r="D10" s="30">
        <v>200.08228571428575</v>
      </c>
      <c r="E10" s="30">
        <v>0.20239999999999941</v>
      </c>
      <c r="F10" s="30">
        <v>56</v>
      </c>
      <c r="G10" s="30">
        <v>75</v>
      </c>
      <c r="H10" s="30">
        <v>2469.6060093703554</v>
      </c>
      <c r="I10" s="30">
        <v>1947791</v>
      </c>
      <c r="J10" s="30">
        <v>7442</v>
      </c>
      <c r="K10" s="30">
        <v>0</v>
      </c>
      <c r="L10" s="30">
        <v>53822</v>
      </c>
      <c r="M10" s="30">
        <v>60227</v>
      </c>
      <c r="N10" s="30">
        <v>3270</v>
      </c>
      <c r="O10" s="30">
        <v>30063</v>
      </c>
      <c r="P10" s="30">
        <v>10588</v>
      </c>
      <c r="Q10" s="30">
        <v>9035</v>
      </c>
      <c r="R10" s="30">
        <v>2122238</v>
      </c>
      <c r="S10" s="34"/>
    </row>
    <row r="11" spans="1:19">
      <c r="A11" s="11" t="s">
        <v>277</v>
      </c>
      <c r="B11" s="31">
        <v>19569201.240000002</v>
      </c>
      <c r="C11" s="32">
        <v>19820.737480952637</v>
      </c>
      <c r="D11" s="32">
        <v>558.80838764327461</v>
      </c>
      <c r="E11" s="32">
        <v>42.131748030749407</v>
      </c>
      <c r="F11" s="32">
        <v>667.82652842949778</v>
      </c>
      <c r="G11" s="32">
        <v>666.33712607516554</v>
      </c>
      <c r="H11" s="32">
        <v>21755.841271131329</v>
      </c>
      <c r="I11" s="32">
        <v>15201708.800000001</v>
      </c>
      <c r="J11" s="32">
        <v>90346</v>
      </c>
      <c r="K11" s="32">
        <v>60724</v>
      </c>
      <c r="L11" s="32">
        <v>775458</v>
      </c>
      <c r="M11" s="32">
        <v>506236</v>
      </c>
      <c r="N11" s="32">
        <v>83597.2</v>
      </c>
      <c r="O11" s="32">
        <v>528576</v>
      </c>
      <c r="P11" s="32">
        <v>248768</v>
      </c>
      <c r="Q11" s="32">
        <v>202726.26</v>
      </c>
      <c r="R11" s="32">
        <v>17698140.260000002</v>
      </c>
      <c r="S11" s="35">
        <v>0</v>
      </c>
    </row>
    <row r="16" spans="1:19">
      <c r="A16" s="36" t="s">
        <v>296</v>
      </c>
      <c r="B16" s="36" t="s">
        <v>321</v>
      </c>
      <c r="C16" s="36" t="s">
        <v>279</v>
      </c>
      <c r="D16" s="36" t="s">
        <v>280</v>
      </c>
      <c r="E16" s="36" t="s">
        <v>281</v>
      </c>
      <c r="F16" s="36" t="s">
        <v>282</v>
      </c>
      <c r="G16" s="36" t="s">
        <v>283</v>
      </c>
      <c r="H16" s="36" t="s">
        <v>284</v>
      </c>
      <c r="I16" s="36" t="s">
        <v>285</v>
      </c>
      <c r="J16" s="36" t="s">
        <v>286</v>
      </c>
      <c r="K16" s="36" t="s">
        <v>287</v>
      </c>
      <c r="L16" s="36" t="s">
        <v>288</v>
      </c>
      <c r="M16" s="36" t="s">
        <v>289</v>
      </c>
      <c r="N16" s="36" t="s">
        <v>290</v>
      </c>
      <c r="O16" s="36" t="s">
        <v>291</v>
      </c>
      <c r="P16" s="36" t="s">
        <v>292</v>
      </c>
      <c r="Q16" s="36" t="s">
        <v>293</v>
      </c>
      <c r="R16" s="36" t="s">
        <v>294</v>
      </c>
    </row>
    <row r="17" spans="1:18">
      <c r="A17" s="36" t="s">
        <v>297</v>
      </c>
      <c r="B17" s="122">
        <v>5760192.6200000001</v>
      </c>
      <c r="C17" s="122">
        <v>6002.9198825339481</v>
      </c>
      <c r="D17" s="122">
        <v>254.59328571428571</v>
      </c>
      <c r="E17" s="122">
        <v>19.787999999999997</v>
      </c>
      <c r="F17" s="122">
        <v>280.96699999999998</v>
      </c>
      <c r="G17" s="122">
        <v>2.7499999999999996</v>
      </c>
      <c r="H17" s="122">
        <v>6561.0181682482344</v>
      </c>
      <c r="I17" s="122">
        <v>4497176.4000000004</v>
      </c>
      <c r="J17" s="122">
        <v>24540</v>
      </c>
      <c r="K17" s="122">
        <v>29849</v>
      </c>
      <c r="L17" s="122">
        <v>64560</v>
      </c>
      <c r="M17" s="122">
        <v>176548</v>
      </c>
      <c r="N17" s="122">
        <v>21329</v>
      </c>
      <c r="O17" s="122">
        <v>136835</v>
      </c>
      <c r="P17" s="122">
        <v>71360</v>
      </c>
      <c r="Q17" s="122">
        <v>68451</v>
      </c>
      <c r="R17" s="122">
        <v>5090648.4000000004</v>
      </c>
    </row>
    <row r="18" spans="1:18">
      <c r="A18" s="36" t="s">
        <v>298</v>
      </c>
      <c r="B18" s="122">
        <v>772118</v>
      </c>
      <c r="C18" s="122">
        <v>799.90006731742938</v>
      </c>
      <c r="D18" s="122">
        <v>2.9440000000000022</v>
      </c>
      <c r="E18" s="122">
        <v>0.20239999999999941</v>
      </c>
      <c r="F18" s="122">
        <v>0</v>
      </c>
      <c r="G18" s="122">
        <v>75</v>
      </c>
      <c r="H18" s="122">
        <v>878.04646731742946</v>
      </c>
      <c r="I18" s="122">
        <v>655809</v>
      </c>
      <c r="J18" s="122">
        <v>6987</v>
      </c>
      <c r="K18" s="122">
        <v>0</v>
      </c>
      <c r="L18" s="122">
        <v>19281</v>
      </c>
      <c r="M18" s="122">
        <v>38227</v>
      </c>
      <c r="N18" s="122">
        <v>3270</v>
      </c>
      <c r="O18" s="122">
        <v>25626</v>
      </c>
      <c r="P18" s="122">
        <v>4028</v>
      </c>
      <c r="Q18" s="122">
        <v>8895</v>
      </c>
      <c r="R18" s="122">
        <v>762123</v>
      </c>
    </row>
    <row r="19" spans="1:18">
      <c r="A19" s="36" t="s">
        <v>299</v>
      </c>
      <c r="B19" s="122">
        <v>404000</v>
      </c>
      <c r="C19" s="122">
        <v>570</v>
      </c>
      <c r="D19" s="122">
        <v>20</v>
      </c>
      <c r="E19" s="122">
        <v>1</v>
      </c>
      <c r="F19" s="122">
        <v>45</v>
      </c>
      <c r="G19" s="122">
        <v>0</v>
      </c>
      <c r="H19" s="122">
        <v>636</v>
      </c>
      <c r="I19" s="122">
        <v>234500</v>
      </c>
      <c r="J19" s="122">
        <v>0</v>
      </c>
      <c r="K19" s="122">
        <v>0</v>
      </c>
      <c r="L19" s="122">
        <v>0</v>
      </c>
      <c r="M19" s="122">
        <v>8531</v>
      </c>
      <c r="N19" s="122">
        <v>0</v>
      </c>
      <c r="O19" s="122">
        <v>100907</v>
      </c>
      <c r="P19" s="122">
        <v>48996</v>
      </c>
      <c r="Q19" s="122">
        <v>8241</v>
      </c>
      <c r="R19" s="122">
        <v>401175</v>
      </c>
    </row>
    <row r="20" spans="1:18">
      <c r="A20" s="36" t="s">
        <v>300</v>
      </c>
      <c r="B20" s="122">
        <v>2848290</v>
      </c>
      <c r="C20" s="122">
        <v>2537.5487906249418</v>
      </c>
      <c r="D20" s="122">
        <v>1.8669081073516118</v>
      </c>
      <c r="E20" s="122">
        <v>7.5474015374706716E-2</v>
      </c>
      <c r="F20" s="122">
        <v>7.9462642147489229</v>
      </c>
      <c r="G20" s="122">
        <v>255.41856303758274</v>
      </c>
      <c r="H20" s="122">
        <v>2802.8559999999998</v>
      </c>
      <c r="I20" s="122">
        <v>2213369</v>
      </c>
      <c r="J20" s="122">
        <v>13646</v>
      </c>
      <c r="K20" s="122">
        <v>513</v>
      </c>
      <c r="L20" s="122">
        <v>303888</v>
      </c>
      <c r="M20" s="122">
        <v>29812</v>
      </c>
      <c r="N20" s="122">
        <v>17199.599999999999</v>
      </c>
      <c r="O20" s="122">
        <v>920</v>
      </c>
      <c r="P20" s="122">
        <v>0</v>
      </c>
      <c r="Q20" s="122">
        <v>15776.13</v>
      </c>
      <c r="R20" s="122">
        <v>2595123.73</v>
      </c>
    </row>
    <row r="21" spans="1:18">
      <c r="B21" s="123">
        <f>SUM(B17:B20)</f>
        <v>9784600.620000001</v>
      </c>
      <c r="C21" s="123">
        <f t="shared" ref="C21:R21" si="0">SUM(C17:C20)</f>
        <v>9910.3687404763186</v>
      </c>
      <c r="D21" s="123">
        <f t="shared" si="0"/>
        <v>279.40419382163731</v>
      </c>
      <c r="E21" s="123">
        <f t="shared" si="0"/>
        <v>21.065874015374703</v>
      </c>
      <c r="F21" s="123">
        <f t="shared" si="0"/>
        <v>333.91326421474889</v>
      </c>
      <c r="G21" s="123">
        <f t="shared" si="0"/>
        <v>333.16856303758277</v>
      </c>
      <c r="H21" s="123">
        <f t="shared" si="0"/>
        <v>10877.920635565664</v>
      </c>
      <c r="I21" s="123">
        <f t="shared" si="0"/>
        <v>7600854.4000000004</v>
      </c>
      <c r="J21" s="123">
        <f t="shared" si="0"/>
        <v>45173</v>
      </c>
      <c r="K21" s="123">
        <f t="shared" si="0"/>
        <v>30362</v>
      </c>
      <c r="L21" s="123">
        <f t="shared" si="0"/>
        <v>387729</v>
      </c>
      <c r="M21" s="123">
        <f t="shared" si="0"/>
        <v>253118</v>
      </c>
      <c r="N21" s="123">
        <f t="shared" si="0"/>
        <v>41798.6</v>
      </c>
      <c r="O21" s="123">
        <f t="shared" si="0"/>
        <v>264288</v>
      </c>
      <c r="P21" s="123">
        <f t="shared" si="0"/>
        <v>124384</v>
      </c>
      <c r="Q21" s="123">
        <f t="shared" si="0"/>
        <v>101363.13</v>
      </c>
      <c r="R21" s="123">
        <f t="shared" si="0"/>
        <v>8849070.1300000008</v>
      </c>
    </row>
    <row r="23" spans="1:18">
      <c r="B23">
        <v>9784600.620000001</v>
      </c>
      <c r="C23">
        <v>9910.3687404763186</v>
      </c>
      <c r="D23">
        <v>279.40419382163736</v>
      </c>
      <c r="E23">
        <v>21.06587401537471</v>
      </c>
      <c r="F23">
        <v>333.91326421474889</v>
      </c>
      <c r="G23">
        <v>333.16856303758277</v>
      </c>
      <c r="H23">
        <v>10877.920635565661</v>
      </c>
      <c r="I23">
        <v>7600854.4000000004</v>
      </c>
      <c r="J23">
        <v>45173</v>
      </c>
      <c r="K23">
        <v>30362</v>
      </c>
      <c r="L23">
        <v>387729</v>
      </c>
      <c r="M23">
        <v>253118</v>
      </c>
      <c r="N23">
        <v>41798.6</v>
      </c>
      <c r="O23">
        <v>264288</v>
      </c>
      <c r="P23">
        <v>124384</v>
      </c>
      <c r="Q23">
        <v>101363.13</v>
      </c>
      <c r="R23">
        <v>8849070.1300000008</v>
      </c>
    </row>
    <row r="24" spans="1:18">
      <c r="B24" s="124">
        <f>+B23-B21</f>
        <v>0</v>
      </c>
      <c r="C24" s="124">
        <f t="shared" ref="C24:R24" si="1">+C23-C21</f>
        <v>0</v>
      </c>
      <c r="D24" s="124">
        <f t="shared" si="1"/>
        <v>0</v>
      </c>
      <c r="E24" s="124">
        <f t="shared" si="1"/>
        <v>0</v>
      </c>
      <c r="F24" s="124">
        <f t="shared" si="1"/>
        <v>0</v>
      </c>
      <c r="G24" s="124">
        <f t="shared" si="1"/>
        <v>0</v>
      </c>
      <c r="H24" s="124">
        <f t="shared" si="1"/>
        <v>0</v>
      </c>
      <c r="I24" s="124">
        <f t="shared" si="1"/>
        <v>0</v>
      </c>
      <c r="J24" s="124">
        <f t="shared" si="1"/>
        <v>0</v>
      </c>
      <c r="K24" s="124">
        <f t="shared" si="1"/>
        <v>0</v>
      </c>
      <c r="L24" s="124">
        <f t="shared" si="1"/>
        <v>0</v>
      </c>
      <c r="M24" s="124">
        <f t="shared" si="1"/>
        <v>0</v>
      </c>
      <c r="N24" s="124">
        <f t="shared" si="1"/>
        <v>0</v>
      </c>
      <c r="O24" s="124">
        <f t="shared" si="1"/>
        <v>0</v>
      </c>
      <c r="P24" s="124">
        <f t="shared" si="1"/>
        <v>0</v>
      </c>
      <c r="Q24" s="124">
        <f t="shared" si="1"/>
        <v>0</v>
      </c>
      <c r="R24" s="124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</sheetPr>
  <dimension ref="A3:U80"/>
  <sheetViews>
    <sheetView zoomScale="70" zoomScaleNormal="70" workbookViewId="0">
      <selection activeCell="L45" sqref="L45"/>
    </sheetView>
  </sheetViews>
  <sheetFormatPr defaultRowHeight="12.75"/>
  <cols>
    <col min="1" max="1" width="18.5703125" customWidth="1"/>
    <col min="2" max="2" width="14.5703125" customWidth="1"/>
    <col min="3" max="3" width="20" style="5" customWidth="1"/>
    <col min="4" max="4" width="13.42578125" customWidth="1"/>
    <col min="5" max="6" width="14.5703125" customWidth="1"/>
    <col min="7" max="7" width="12.42578125" customWidth="1"/>
    <col min="8" max="8" width="11.5703125" customWidth="1"/>
    <col min="9" max="9" width="11" customWidth="1"/>
    <col min="10" max="10" width="14.5703125" customWidth="1"/>
    <col min="11" max="11" width="12.5703125" customWidth="1"/>
    <col min="12" max="12" width="13" customWidth="1"/>
    <col min="13" max="13" width="11.42578125" customWidth="1"/>
    <col min="14" max="14" width="12.85546875" customWidth="1"/>
    <col min="15" max="15" width="15.28515625" customWidth="1"/>
    <col min="16" max="16" width="14" customWidth="1"/>
    <col min="17" max="17" width="12.42578125" customWidth="1"/>
    <col min="18" max="18" width="12.5703125" customWidth="1"/>
    <col min="19" max="19" width="12" customWidth="1"/>
    <col min="20" max="21" width="10" customWidth="1"/>
  </cols>
  <sheetData>
    <row r="3" spans="1:19">
      <c r="B3" s="8"/>
      <c r="C3" s="9" t="s">
        <v>278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0"/>
    </row>
    <row r="4" spans="1:19">
      <c r="A4" s="4" t="s">
        <v>296</v>
      </c>
      <c r="B4" s="9" t="s">
        <v>275</v>
      </c>
      <c r="C4" s="8" t="s">
        <v>321</v>
      </c>
      <c r="D4" s="18" t="s">
        <v>279</v>
      </c>
      <c r="E4" s="18" t="s">
        <v>280</v>
      </c>
      <c r="F4" s="18" t="s">
        <v>281</v>
      </c>
      <c r="G4" s="18" t="s">
        <v>282</v>
      </c>
      <c r="H4" s="18" t="s">
        <v>283</v>
      </c>
      <c r="I4" s="18" t="s">
        <v>284</v>
      </c>
      <c r="J4" s="18" t="s">
        <v>285</v>
      </c>
      <c r="K4" s="18" t="s">
        <v>286</v>
      </c>
      <c r="L4" s="18" t="s">
        <v>287</v>
      </c>
      <c r="M4" s="18" t="s">
        <v>288</v>
      </c>
      <c r="N4" s="18" t="s">
        <v>289</v>
      </c>
      <c r="O4" s="18" t="s">
        <v>290</v>
      </c>
      <c r="P4" s="18" t="s">
        <v>291</v>
      </c>
      <c r="Q4" s="18" t="s">
        <v>292</v>
      </c>
      <c r="R4" s="18" t="s">
        <v>293</v>
      </c>
      <c r="S4" s="19" t="s">
        <v>294</v>
      </c>
    </row>
    <row r="5" spans="1:19">
      <c r="A5" t="e">
        <f>+VLOOKUP($B5,#REF!,2,FALSE)</f>
        <v>#REF!</v>
      </c>
      <c r="B5" s="8" t="s">
        <v>42</v>
      </c>
      <c r="C5" s="13">
        <v>1518178</v>
      </c>
      <c r="D5" s="14">
        <v>1341.0319999999999</v>
      </c>
      <c r="E5" s="14">
        <v>1.6</v>
      </c>
      <c r="F5" s="14">
        <v>0</v>
      </c>
      <c r="G5" s="14">
        <v>0</v>
      </c>
      <c r="H5" s="14">
        <v>0</v>
      </c>
      <c r="I5" s="14">
        <v>1342.6320000000001</v>
      </c>
      <c r="J5" s="14">
        <v>980013</v>
      </c>
      <c r="K5" s="14">
        <v>5810</v>
      </c>
      <c r="L5" s="14">
        <v>0</v>
      </c>
      <c r="M5" s="14">
        <v>302644</v>
      </c>
      <c r="N5" s="14">
        <v>24143</v>
      </c>
      <c r="O5" s="14">
        <v>7961</v>
      </c>
      <c r="P5" s="14">
        <v>0</v>
      </c>
      <c r="Q5" s="14">
        <v>0</v>
      </c>
      <c r="R5" s="14">
        <v>15711</v>
      </c>
      <c r="S5" s="37">
        <v>1336282</v>
      </c>
    </row>
    <row r="6" spans="1:19">
      <c r="A6" t="e">
        <f>+VLOOKUP($B6,#REF!,2,FALSE)</f>
        <v>#REF!</v>
      </c>
      <c r="B6" s="10" t="s">
        <v>51</v>
      </c>
      <c r="C6" s="15">
        <v>404000</v>
      </c>
      <c r="D6" s="5">
        <v>570</v>
      </c>
      <c r="E6" s="5">
        <v>20</v>
      </c>
      <c r="F6" s="5">
        <v>1</v>
      </c>
      <c r="G6" s="5">
        <v>45</v>
      </c>
      <c r="H6" s="5">
        <v>0</v>
      </c>
      <c r="I6" s="5">
        <v>636</v>
      </c>
      <c r="J6" s="5">
        <v>234500</v>
      </c>
      <c r="K6" s="5">
        <v>0</v>
      </c>
      <c r="L6" s="5">
        <v>0</v>
      </c>
      <c r="M6" s="5">
        <v>0</v>
      </c>
      <c r="N6" s="5">
        <v>8531</v>
      </c>
      <c r="O6" s="5">
        <v>0</v>
      </c>
      <c r="P6" s="5">
        <v>100907</v>
      </c>
      <c r="Q6" s="5">
        <v>48996</v>
      </c>
      <c r="R6" s="5">
        <v>8241</v>
      </c>
      <c r="S6" s="38">
        <v>401175</v>
      </c>
    </row>
    <row r="7" spans="1:19">
      <c r="A7" t="e">
        <f>+VLOOKUP($B7,#REF!,2,FALSE)</f>
        <v>#REF!</v>
      </c>
      <c r="B7" s="10" t="s">
        <v>58</v>
      </c>
      <c r="C7" s="15">
        <v>938828</v>
      </c>
      <c r="D7" s="5">
        <v>910.99590357932743</v>
      </c>
      <c r="E7" s="5">
        <v>186.066</v>
      </c>
      <c r="F7" s="5">
        <v>0.28999999999999998</v>
      </c>
      <c r="G7" s="5">
        <v>56</v>
      </c>
      <c r="H7" s="5">
        <v>0</v>
      </c>
      <c r="I7" s="5">
        <v>1153.3519035793274</v>
      </c>
      <c r="J7" s="5">
        <v>856900</v>
      </c>
      <c r="K7" s="5">
        <v>164</v>
      </c>
      <c r="L7" s="5">
        <v>0</v>
      </c>
      <c r="M7" s="5">
        <v>10921</v>
      </c>
      <c r="N7" s="5">
        <v>9195</v>
      </c>
      <c r="O7" s="5">
        <v>64</v>
      </c>
      <c r="P7" s="5">
        <v>626</v>
      </c>
      <c r="Q7" s="5">
        <v>82</v>
      </c>
      <c r="R7" s="5">
        <v>2061</v>
      </c>
      <c r="S7" s="38">
        <v>880013</v>
      </c>
    </row>
    <row r="8" spans="1:19">
      <c r="A8" t="e">
        <f>+VLOOKUP($B8,#REF!,2,FALSE)</f>
        <v>#REF!</v>
      </c>
      <c r="B8" s="10" t="s">
        <v>83</v>
      </c>
      <c r="C8" s="15">
        <v>61040</v>
      </c>
      <c r="D8" s="5">
        <v>107.095</v>
      </c>
      <c r="E8" s="5">
        <v>0</v>
      </c>
      <c r="F8" s="5">
        <v>0</v>
      </c>
      <c r="G8" s="5">
        <v>0</v>
      </c>
      <c r="H8" s="5">
        <v>0</v>
      </c>
      <c r="I8" s="5">
        <v>107.095</v>
      </c>
      <c r="J8" s="5">
        <v>50000</v>
      </c>
      <c r="K8" s="5">
        <v>1500</v>
      </c>
      <c r="L8" s="5">
        <v>500</v>
      </c>
      <c r="M8" s="5">
        <v>0</v>
      </c>
      <c r="N8" s="5">
        <v>0</v>
      </c>
      <c r="O8" s="5">
        <v>8200</v>
      </c>
      <c r="P8" s="5">
        <v>0</v>
      </c>
      <c r="Q8" s="5">
        <v>0</v>
      </c>
      <c r="R8" s="5">
        <v>0</v>
      </c>
      <c r="S8" s="38">
        <v>60200</v>
      </c>
    </row>
    <row r="9" spans="1:19">
      <c r="A9" t="e">
        <f>+VLOOKUP($B9,#REF!,2,FALSE)</f>
        <v>#REF!</v>
      </c>
      <c r="B9" s="10" t="s">
        <v>89</v>
      </c>
      <c r="C9" s="15">
        <v>199000</v>
      </c>
      <c r="D9" s="5">
        <v>209.42</v>
      </c>
      <c r="E9" s="5">
        <v>1.47</v>
      </c>
      <c r="F9" s="5">
        <v>0.18</v>
      </c>
      <c r="G9" s="5">
        <v>12.887</v>
      </c>
      <c r="H9" s="5">
        <v>0</v>
      </c>
      <c r="I9" s="5">
        <v>223.95699999999999</v>
      </c>
      <c r="J9" s="5">
        <v>122200</v>
      </c>
      <c r="K9" s="5">
        <v>6270</v>
      </c>
      <c r="L9" s="5">
        <v>5230</v>
      </c>
      <c r="M9" s="5">
        <v>0</v>
      </c>
      <c r="N9" s="5">
        <v>4850</v>
      </c>
      <c r="O9" s="5">
        <v>3070</v>
      </c>
      <c r="P9" s="5">
        <v>270</v>
      </c>
      <c r="Q9" s="5">
        <v>57110</v>
      </c>
      <c r="R9" s="5">
        <v>0</v>
      </c>
      <c r="S9" s="38">
        <v>199000</v>
      </c>
    </row>
    <row r="10" spans="1:19">
      <c r="A10" t="e">
        <f>+VLOOKUP($B10,#REF!,2,FALSE)</f>
        <v>#REF!</v>
      </c>
      <c r="B10" s="10" t="s">
        <v>109</v>
      </c>
      <c r="C10" s="15">
        <v>373453</v>
      </c>
      <c r="D10" s="5">
        <v>418.93999999999994</v>
      </c>
      <c r="E10" s="5">
        <v>4.1500000000000004</v>
      </c>
      <c r="F10" s="5">
        <v>0</v>
      </c>
      <c r="G10" s="5">
        <v>0.26</v>
      </c>
      <c r="H10" s="5">
        <v>0.05</v>
      </c>
      <c r="I10" s="5">
        <v>423.4</v>
      </c>
      <c r="J10" s="5">
        <v>346478</v>
      </c>
      <c r="K10" s="5">
        <v>1000</v>
      </c>
      <c r="L10" s="5">
        <v>0</v>
      </c>
      <c r="M10" s="5">
        <v>8000</v>
      </c>
      <c r="N10" s="5">
        <v>2740</v>
      </c>
      <c r="O10" s="5">
        <v>445</v>
      </c>
      <c r="P10" s="5">
        <v>740</v>
      </c>
      <c r="Q10" s="5">
        <v>15</v>
      </c>
      <c r="R10" s="5">
        <v>460</v>
      </c>
      <c r="S10" s="38">
        <v>359878</v>
      </c>
    </row>
    <row r="11" spans="1:19">
      <c r="A11" t="e">
        <f>+VLOOKUP($B11,#REF!,2,FALSE)</f>
        <v>#REF!</v>
      </c>
      <c r="B11" s="10" t="s">
        <v>112</v>
      </c>
      <c r="C11" s="15">
        <v>382062.5</v>
      </c>
      <c r="D11" s="5">
        <v>288</v>
      </c>
      <c r="E11" s="5">
        <v>0</v>
      </c>
      <c r="F11" s="5">
        <v>0</v>
      </c>
      <c r="G11" s="5">
        <v>0</v>
      </c>
      <c r="H11" s="5">
        <v>0</v>
      </c>
      <c r="I11" s="5">
        <v>288</v>
      </c>
      <c r="J11" s="5">
        <v>272457</v>
      </c>
      <c r="K11" s="5">
        <v>45</v>
      </c>
      <c r="L11" s="5">
        <v>5427</v>
      </c>
      <c r="M11" s="5">
        <v>0</v>
      </c>
      <c r="N11" s="5">
        <v>16349</v>
      </c>
      <c r="O11" s="5">
        <v>5625</v>
      </c>
      <c r="P11" s="5">
        <v>4318</v>
      </c>
      <c r="Q11" s="5">
        <v>1420</v>
      </c>
      <c r="R11" s="5">
        <v>1628</v>
      </c>
      <c r="S11" s="38">
        <v>307269</v>
      </c>
    </row>
    <row r="12" spans="1:19">
      <c r="A12" t="e">
        <f>+VLOOKUP($B12,#REF!,2,FALSE)</f>
        <v>#REF!</v>
      </c>
      <c r="B12" s="10" t="s">
        <v>126</v>
      </c>
      <c r="C12" s="15">
        <v>499125</v>
      </c>
      <c r="D12" s="5">
        <v>550.1</v>
      </c>
      <c r="E12" s="5">
        <v>21.2</v>
      </c>
      <c r="F12" s="5">
        <v>3.9</v>
      </c>
      <c r="G12" s="5">
        <v>4</v>
      </c>
      <c r="H12" s="5">
        <v>0</v>
      </c>
      <c r="I12" s="5">
        <v>579.20000000000005</v>
      </c>
      <c r="J12" s="5">
        <v>401721</v>
      </c>
      <c r="K12" s="5">
        <v>0</v>
      </c>
      <c r="L12" s="5">
        <v>0</v>
      </c>
      <c r="M12" s="5">
        <v>0</v>
      </c>
      <c r="N12" s="5">
        <v>11493</v>
      </c>
      <c r="O12" s="5">
        <v>0</v>
      </c>
      <c r="P12" s="5">
        <v>11478</v>
      </c>
      <c r="Q12" s="5">
        <v>175</v>
      </c>
      <c r="R12" s="5">
        <v>4001</v>
      </c>
      <c r="S12" s="38">
        <v>428868</v>
      </c>
    </row>
    <row r="13" spans="1:19">
      <c r="A13" t="e">
        <f>+VLOOKUP($B13,#REF!,2,FALSE)</f>
        <v>#REF!</v>
      </c>
      <c r="B13" s="10" t="s">
        <v>137</v>
      </c>
      <c r="C13" s="15">
        <v>1389687.5</v>
      </c>
      <c r="D13" s="5">
        <v>1318.5533655775289</v>
      </c>
      <c r="E13" s="5">
        <v>22.547999999999998</v>
      </c>
      <c r="F13" s="5">
        <v>13.788</v>
      </c>
      <c r="G13" s="5">
        <v>184.26</v>
      </c>
      <c r="H13" s="5">
        <v>2.6999999999999997</v>
      </c>
      <c r="I13" s="5">
        <v>1541.8493655775287</v>
      </c>
      <c r="J13" s="5">
        <v>905013.4</v>
      </c>
      <c r="K13" s="5">
        <v>5748</v>
      </c>
      <c r="L13" s="5">
        <v>4028</v>
      </c>
      <c r="M13" s="5">
        <v>0</v>
      </c>
      <c r="N13" s="5">
        <v>93618</v>
      </c>
      <c r="O13" s="5">
        <v>4042</v>
      </c>
      <c r="P13" s="5">
        <v>9521</v>
      </c>
      <c r="Q13" s="5">
        <v>7670</v>
      </c>
      <c r="R13" s="5">
        <v>58866</v>
      </c>
      <c r="S13" s="38">
        <v>1088506.3999999999</v>
      </c>
    </row>
    <row r="14" spans="1:19">
      <c r="A14" t="e">
        <f>+VLOOKUP($B14,#REF!,2,FALSE)</f>
        <v>#REF!</v>
      </c>
      <c r="B14" s="10" t="s">
        <v>152</v>
      </c>
      <c r="C14" s="15">
        <v>369813</v>
      </c>
      <c r="D14" s="5">
        <v>351.48</v>
      </c>
      <c r="E14" s="5">
        <v>0</v>
      </c>
      <c r="F14" s="5">
        <v>0</v>
      </c>
      <c r="G14" s="5">
        <v>0</v>
      </c>
      <c r="H14" s="5">
        <v>0</v>
      </c>
      <c r="I14" s="5">
        <v>351.48</v>
      </c>
      <c r="J14" s="5">
        <v>358443</v>
      </c>
      <c r="K14" s="5">
        <v>6104</v>
      </c>
      <c r="L14" s="5">
        <v>13</v>
      </c>
      <c r="M14" s="5">
        <v>44</v>
      </c>
      <c r="N14" s="5">
        <v>4960</v>
      </c>
      <c r="O14" s="5">
        <v>63</v>
      </c>
      <c r="P14" s="5">
        <v>149</v>
      </c>
      <c r="Q14" s="5">
        <v>0</v>
      </c>
      <c r="R14" s="5">
        <v>37</v>
      </c>
      <c r="S14" s="38">
        <v>369813</v>
      </c>
    </row>
    <row r="15" spans="1:19">
      <c r="A15" t="e">
        <f>+VLOOKUP($B15,#REF!,2,FALSE)</f>
        <v>#REF!</v>
      </c>
      <c r="B15" s="10" t="s">
        <v>156</v>
      </c>
      <c r="C15" s="15">
        <v>769563</v>
      </c>
      <c r="D15" s="5">
        <v>663.09279062494193</v>
      </c>
      <c r="E15" s="5">
        <v>0.2669081073516118</v>
      </c>
      <c r="F15" s="5">
        <v>7.5474015374706716E-2</v>
      </c>
      <c r="G15" s="5">
        <v>7.9462642147489229</v>
      </c>
      <c r="H15" s="5">
        <v>255.41856303758274</v>
      </c>
      <c r="I15" s="5">
        <v>926.8</v>
      </c>
      <c r="J15" s="5">
        <v>765647</v>
      </c>
      <c r="K15" s="5">
        <v>232</v>
      </c>
      <c r="L15" s="5">
        <v>0</v>
      </c>
      <c r="M15" s="5">
        <v>1200</v>
      </c>
      <c r="N15" s="5">
        <v>709</v>
      </c>
      <c r="O15" s="5">
        <v>975.6</v>
      </c>
      <c r="P15" s="5">
        <v>771</v>
      </c>
      <c r="Q15" s="5">
        <v>0</v>
      </c>
      <c r="R15" s="5">
        <v>28.13</v>
      </c>
      <c r="S15" s="38">
        <v>769562.73</v>
      </c>
    </row>
    <row r="16" spans="1:19">
      <c r="A16" t="e">
        <f>+VLOOKUP($B16,#REF!,2,FALSE)</f>
        <v>#REF!</v>
      </c>
      <c r="B16" s="10" t="s">
        <v>198</v>
      </c>
      <c r="C16" s="15">
        <v>338125</v>
      </c>
      <c r="D16" s="5">
        <v>605.5652</v>
      </c>
      <c r="E16" s="5">
        <v>5.9</v>
      </c>
      <c r="F16" s="5">
        <v>0.1</v>
      </c>
      <c r="G16" s="5">
        <v>0</v>
      </c>
      <c r="H16" s="5">
        <v>0</v>
      </c>
      <c r="I16" s="5">
        <v>611.5652</v>
      </c>
      <c r="J16" s="5">
        <v>284359</v>
      </c>
      <c r="K16" s="5">
        <v>8313</v>
      </c>
      <c r="L16" s="5">
        <v>3671</v>
      </c>
      <c r="M16" s="5">
        <v>12548</v>
      </c>
      <c r="N16" s="5">
        <v>4143</v>
      </c>
      <c r="O16" s="5">
        <v>3741</v>
      </c>
      <c r="P16" s="5">
        <v>1621</v>
      </c>
      <c r="Q16" s="5">
        <v>0</v>
      </c>
      <c r="R16" s="5">
        <v>0</v>
      </c>
      <c r="S16" s="38">
        <v>318396</v>
      </c>
    </row>
    <row r="17" spans="1:21">
      <c r="A17" t="e">
        <f>+VLOOKUP($B17,#REF!,2,FALSE)</f>
        <v>#REF!</v>
      </c>
      <c r="B17" s="10" t="s">
        <v>221</v>
      </c>
      <c r="C17" s="15">
        <v>242000</v>
      </c>
      <c r="D17" s="5">
        <v>304.32</v>
      </c>
      <c r="E17" s="5">
        <v>0</v>
      </c>
      <c r="F17" s="5">
        <v>0.24</v>
      </c>
      <c r="G17" s="5">
        <v>10.6</v>
      </c>
      <c r="H17" s="5">
        <v>0</v>
      </c>
      <c r="I17" s="5">
        <v>315.16000000000003</v>
      </c>
      <c r="J17" s="5">
        <v>69746</v>
      </c>
      <c r="K17" s="5">
        <v>0</v>
      </c>
      <c r="L17" s="5">
        <v>9822</v>
      </c>
      <c r="M17" s="5">
        <v>0</v>
      </c>
      <c r="N17" s="5">
        <v>0</v>
      </c>
      <c r="O17" s="5">
        <v>0</v>
      </c>
      <c r="P17" s="5">
        <v>99635</v>
      </c>
      <c r="Q17" s="5">
        <v>4700</v>
      </c>
      <c r="R17" s="5">
        <v>1435</v>
      </c>
      <c r="S17" s="38">
        <v>185338</v>
      </c>
    </row>
    <row r="18" spans="1:21">
      <c r="A18" t="e">
        <f>+VLOOKUP($B18,#REF!,2,FALSE)</f>
        <v>#REF!</v>
      </c>
      <c r="B18" s="10" t="s">
        <v>226</v>
      </c>
      <c r="C18" s="15">
        <v>50724.12</v>
      </c>
      <c r="D18" s="5">
        <v>19.439999999999998</v>
      </c>
      <c r="E18" s="5">
        <v>0</v>
      </c>
      <c r="F18" s="5">
        <v>0.02</v>
      </c>
      <c r="G18" s="5">
        <v>12.96</v>
      </c>
      <c r="H18" s="5">
        <v>0</v>
      </c>
      <c r="I18" s="5">
        <v>32.42</v>
      </c>
      <c r="J18" s="5">
        <v>11380</v>
      </c>
      <c r="K18" s="5">
        <v>0</v>
      </c>
      <c r="L18" s="5">
        <v>1671</v>
      </c>
      <c r="M18" s="5">
        <v>0</v>
      </c>
      <c r="N18" s="5">
        <v>13000</v>
      </c>
      <c r="O18" s="5">
        <v>4342</v>
      </c>
      <c r="P18" s="5">
        <v>3343</v>
      </c>
      <c r="Q18" s="5">
        <v>188</v>
      </c>
      <c r="R18" s="5">
        <v>0</v>
      </c>
      <c r="S18" s="38">
        <v>33924</v>
      </c>
    </row>
    <row r="19" spans="1:21">
      <c r="A19" t="e">
        <f>+VLOOKUP($B19,#REF!,2,FALSE)</f>
        <v>#REF!</v>
      </c>
      <c r="B19" s="10" t="s">
        <v>231</v>
      </c>
      <c r="C19" s="15">
        <v>306125</v>
      </c>
      <c r="D19" s="5">
        <v>369.97199999999998</v>
      </c>
      <c r="E19" s="5">
        <v>1.641</v>
      </c>
      <c r="F19" s="5">
        <v>1.27</v>
      </c>
      <c r="G19" s="5">
        <v>0</v>
      </c>
      <c r="H19" s="5">
        <v>0</v>
      </c>
      <c r="I19" s="5">
        <v>372.88299999999992</v>
      </c>
      <c r="J19" s="5">
        <v>295175</v>
      </c>
      <c r="K19" s="5">
        <v>3000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38">
        <v>298175</v>
      </c>
    </row>
    <row r="20" spans="1:21">
      <c r="A20" t="e">
        <f>+VLOOKUP($B20,#REF!,2,FALSE)</f>
        <v>#REF!</v>
      </c>
      <c r="B20" s="10" t="s">
        <v>235</v>
      </c>
      <c r="C20" s="15">
        <v>857000</v>
      </c>
      <c r="D20" s="5">
        <v>868.61372382014338</v>
      </c>
      <c r="E20" s="5">
        <v>0</v>
      </c>
      <c r="F20" s="5">
        <v>0</v>
      </c>
      <c r="G20" s="5">
        <v>0</v>
      </c>
      <c r="H20" s="5">
        <v>0</v>
      </c>
      <c r="I20" s="5">
        <v>868.61372382014338</v>
      </c>
      <c r="J20" s="5">
        <v>786747</v>
      </c>
      <c r="K20" s="5">
        <v>0</v>
      </c>
      <c r="L20" s="5">
        <v>0</v>
      </c>
      <c r="M20" s="5">
        <v>32716</v>
      </c>
      <c r="N20" s="5">
        <v>13840</v>
      </c>
      <c r="O20" s="5">
        <v>0</v>
      </c>
      <c r="P20" s="5">
        <v>3231</v>
      </c>
      <c r="Q20" s="5">
        <v>0</v>
      </c>
      <c r="R20" s="5">
        <v>0</v>
      </c>
      <c r="S20" s="38">
        <v>836534</v>
      </c>
    </row>
    <row r="21" spans="1:21">
      <c r="A21" t="e">
        <f>+VLOOKUP($B21,#REF!,2,FALSE)</f>
        <v>#REF!</v>
      </c>
      <c r="B21" s="10" t="s">
        <v>241</v>
      </c>
      <c r="C21" s="15">
        <v>772118</v>
      </c>
      <c r="D21" s="5">
        <v>799.90006731742938</v>
      </c>
      <c r="E21" s="5">
        <v>2.9440000000000022</v>
      </c>
      <c r="F21" s="5">
        <v>0.20239999999999941</v>
      </c>
      <c r="G21" s="5">
        <v>0</v>
      </c>
      <c r="H21" s="5">
        <v>75</v>
      </c>
      <c r="I21" s="5">
        <v>878.04646731742946</v>
      </c>
      <c r="J21" s="5">
        <v>655809</v>
      </c>
      <c r="K21" s="5">
        <v>6987</v>
      </c>
      <c r="L21" s="5">
        <v>0</v>
      </c>
      <c r="M21" s="5">
        <v>19281</v>
      </c>
      <c r="N21" s="5">
        <v>38227</v>
      </c>
      <c r="O21" s="5">
        <v>3270</v>
      </c>
      <c r="P21" s="5">
        <v>25626</v>
      </c>
      <c r="Q21" s="5">
        <v>4028</v>
      </c>
      <c r="R21" s="5">
        <v>8895</v>
      </c>
      <c r="S21" s="38">
        <v>762123</v>
      </c>
    </row>
    <row r="22" spans="1:21">
      <c r="A22" t="e">
        <f>+VLOOKUP($B22,#REF!,2,FALSE)</f>
        <v>#REF!</v>
      </c>
      <c r="B22" s="10" t="s">
        <v>257</v>
      </c>
      <c r="C22" s="15">
        <v>184062.5</v>
      </c>
      <c r="D22" s="5">
        <v>138.99968955694854</v>
      </c>
      <c r="E22" s="5">
        <v>11.618285714285717</v>
      </c>
      <c r="F22" s="5">
        <v>0</v>
      </c>
      <c r="G22" s="5">
        <v>0</v>
      </c>
      <c r="H22" s="5">
        <v>0</v>
      </c>
      <c r="I22" s="5">
        <v>150.61797527123426</v>
      </c>
      <c r="J22" s="5">
        <v>145000</v>
      </c>
      <c r="K22" s="5">
        <v>0</v>
      </c>
      <c r="L22" s="5">
        <v>0</v>
      </c>
      <c r="M22" s="5">
        <v>375</v>
      </c>
      <c r="N22" s="5">
        <v>7320</v>
      </c>
      <c r="O22" s="5">
        <v>0</v>
      </c>
      <c r="P22" s="5">
        <v>2052</v>
      </c>
      <c r="Q22" s="5">
        <v>0</v>
      </c>
      <c r="R22" s="5">
        <v>0</v>
      </c>
      <c r="S22" s="38">
        <v>154747</v>
      </c>
    </row>
    <row r="23" spans="1:21">
      <c r="A23" t="e">
        <f>+VLOOKUP($B23,#REF!,2,FALSE)</f>
        <v>#REF!</v>
      </c>
      <c r="B23" s="10" t="s">
        <v>266</v>
      </c>
      <c r="C23" s="15">
        <v>129696</v>
      </c>
      <c r="D23" s="5">
        <v>74.849000000000004</v>
      </c>
      <c r="E23" s="5">
        <v>0</v>
      </c>
      <c r="F23" s="5">
        <v>0</v>
      </c>
      <c r="G23" s="5">
        <v>0</v>
      </c>
      <c r="H23" s="5">
        <v>0</v>
      </c>
      <c r="I23" s="5">
        <v>74.849000000000004</v>
      </c>
      <c r="J23" s="5">
        <v>59266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38">
        <v>59266</v>
      </c>
    </row>
    <row r="24" spans="1:21">
      <c r="B24" s="10" t="s">
        <v>276</v>
      </c>
      <c r="C24" s="15">
        <v>7535592.6200000001</v>
      </c>
      <c r="D24" s="5">
        <v>7772.0474168202491</v>
      </c>
      <c r="E24" s="5">
        <v>79.321908107351618</v>
      </c>
      <c r="F24" s="5">
        <v>20.86347401537471</v>
      </c>
      <c r="G24" s="5">
        <v>277.91326421474889</v>
      </c>
      <c r="H24" s="5">
        <v>258.16856303758277</v>
      </c>
      <c r="I24" s="5">
        <v>8408.3146261953061</v>
      </c>
      <c r="J24" s="5">
        <v>5653063.4000000004</v>
      </c>
      <c r="K24" s="5">
        <v>37731</v>
      </c>
      <c r="L24" s="5">
        <v>30362</v>
      </c>
      <c r="M24" s="5">
        <v>333907</v>
      </c>
      <c r="N24" s="5">
        <v>192891</v>
      </c>
      <c r="O24" s="5">
        <v>38528.6</v>
      </c>
      <c r="P24" s="5">
        <v>234225</v>
      </c>
      <c r="Q24" s="5">
        <v>113796</v>
      </c>
      <c r="R24" s="5">
        <v>92328.13</v>
      </c>
      <c r="S24" s="38">
        <v>6726832.1300000008</v>
      </c>
    </row>
    <row r="25" spans="1:21">
      <c r="B25" s="11" t="s">
        <v>277</v>
      </c>
      <c r="C25" s="16">
        <v>17320193.240000002</v>
      </c>
      <c r="D25" s="17">
        <v>17682.416157296568</v>
      </c>
      <c r="E25" s="17">
        <v>358.72610192898901</v>
      </c>
      <c r="F25" s="17">
        <v>41.929348030749416</v>
      </c>
      <c r="G25" s="17">
        <v>611.82652842949778</v>
      </c>
      <c r="H25" s="17">
        <v>591.33712607516554</v>
      </c>
      <c r="I25" s="17">
        <v>19286.235261760969</v>
      </c>
      <c r="J25" s="17">
        <v>13253917.800000001</v>
      </c>
      <c r="K25" s="17">
        <v>82904</v>
      </c>
      <c r="L25" s="17">
        <v>60724</v>
      </c>
      <c r="M25" s="17">
        <v>721636</v>
      </c>
      <c r="N25" s="17">
        <v>446009</v>
      </c>
      <c r="O25" s="17">
        <v>80327.199999999997</v>
      </c>
      <c r="P25" s="17">
        <v>498513</v>
      </c>
      <c r="Q25" s="17">
        <v>238180</v>
      </c>
      <c r="R25" s="17">
        <v>193691.26</v>
      </c>
      <c r="S25" s="39">
        <v>15575902.260000002</v>
      </c>
    </row>
    <row r="26" spans="1:21" s="42" customFormat="1">
      <c r="C26" s="43">
        <f>SUM(C5:C23)</f>
        <v>9784600.620000001</v>
      </c>
      <c r="D26" s="43">
        <f t="shared" ref="D26:S26" si="0">SUM(D5:D23)</f>
        <v>9910.3687404763186</v>
      </c>
      <c r="E26" s="43">
        <f t="shared" si="0"/>
        <v>279.40419382163736</v>
      </c>
      <c r="F26" s="43">
        <f t="shared" si="0"/>
        <v>21.065874015374707</v>
      </c>
      <c r="G26" s="43">
        <f t="shared" si="0"/>
        <v>333.91326421474889</v>
      </c>
      <c r="H26" s="43">
        <f t="shared" si="0"/>
        <v>333.16856303758271</v>
      </c>
      <c r="I26" s="43">
        <f t="shared" si="0"/>
        <v>10877.920635565662</v>
      </c>
      <c r="J26" s="43">
        <f t="shared" si="0"/>
        <v>7600854.4000000004</v>
      </c>
      <c r="K26" s="43">
        <f t="shared" si="0"/>
        <v>45173</v>
      </c>
      <c r="L26" s="43">
        <f t="shared" si="0"/>
        <v>30362</v>
      </c>
      <c r="M26" s="43">
        <f t="shared" si="0"/>
        <v>387729</v>
      </c>
      <c r="N26" s="43">
        <f t="shared" si="0"/>
        <v>253118</v>
      </c>
      <c r="O26" s="43">
        <f t="shared" si="0"/>
        <v>41798.6</v>
      </c>
      <c r="P26" s="43">
        <f t="shared" si="0"/>
        <v>264288</v>
      </c>
      <c r="Q26" s="43">
        <f t="shared" si="0"/>
        <v>124384</v>
      </c>
      <c r="R26" s="43">
        <f t="shared" si="0"/>
        <v>101363.13</v>
      </c>
      <c r="S26" s="43">
        <f t="shared" si="0"/>
        <v>8849070.1300000008</v>
      </c>
    </row>
    <row r="27" spans="1:21">
      <c r="C27"/>
    </row>
    <row r="28" spans="1:21">
      <c r="C28" s="40">
        <v>9784600.620000001</v>
      </c>
      <c r="D28" s="40">
        <v>9737.64312814191</v>
      </c>
      <c r="E28" s="40">
        <v>574.46892000000003</v>
      </c>
      <c r="F28" s="40">
        <v>103.84554672000002</v>
      </c>
      <c r="G28" s="40">
        <v>251.40519999999998</v>
      </c>
      <c r="H28" s="40">
        <v>271.56342490566044</v>
      </c>
      <c r="I28" s="40">
        <v>10938.926219767571</v>
      </c>
      <c r="J28" s="40">
        <v>7583742</v>
      </c>
      <c r="K28" s="40">
        <v>300284</v>
      </c>
      <c r="L28" s="40">
        <v>39593</v>
      </c>
      <c r="M28" s="40">
        <v>176709</v>
      </c>
      <c r="N28" s="40">
        <v>315655</v>
      </c>
      <c r="O28" s="40">
        <v>31797</v>
      </c>
      <c r="P28" s="40">
        <v>254337</v>
      </c>
      <c r="Q28" s="40">
        <v>82980</v>
      </c>
      <c r="R28" s="40">
        <v>96870</v>
      </c>
      <c r="S28" s="40">
        <v>8881967</v>
      </c>
    </row>
    <row r="29" spans="1:21">
      <c r="C29" s="41">
        <f>+C26-C28</f>
        <v>0</v>
      </c>
      <c r="D29" s="41">
        <f t="shared" ref="D29:S29" si="1">+D26-D28</f>
        <v>172.72561233440865</v>
      </c>
      <c r="E29" s="41">
        <f t="shared" si="1"/>
        <v>-295.06472617836266</v>
      </c>
      <c r="F29" s="41">
        <f t="shared" si="1"/>
        <v>-82.779672704625312</v>
      </c>
      <c r="G29" s="41">
        <f t="shared" si="1"/>
        <v>82.508064214748913</v>
      </c>
      <c r="H29" s="41">
        <f t="shared" si="1"/>
        <v>61.605138131922274</v>
      </c>
      <c r="I29" s="41">
        <f t="shared" si="1"/>
        <v>-61.005584201908277</v>
      </c>
      <c r="J29" s="41">
        <f t="shared" si="1"/>
        <v>17112.400000000373</v>
      </c>
      <c r="K29" s="41">
        <f t="shared" si="1"/>
        <v>-255111</v>
      </c>
      <c r="L29" s="41">
        <f t="shared" si="1"/>
        <v>-9231</v>
      </c>
      <c r="M29" s="41">
        <f t="shared" si="1"/>
        <v>211020</v>
      </c>
      <c r="N29" s="41">
        <f t="shared" si="1"/>
        <v>-62537</v>
      </c>
      <c r="O29" s="41">
        <f t="shared" si="1"/>
        <v>10001.599999999999</v>
      </c>
      <c r="P29" s="41">
        <f t="shared" si="1"/>
        <v>9951</v>
      </c>
      <c r="Q29" s="41">
        <f t="shared" si="1"/>
        <v>41404</v>
      </c>
      <c r="R29" s="41">
        <f t="shared" si="1"/>
        <v>4493.1300000000047</v>
      </c>
      <c r="S29" s="41">
        <f t="shared" si="1"/>
        <v>-32896.86999999918</v>
      </c>
    </row>
    <row r="30" spans="1:21">
      <c r="C30"/>
    </row>
    <row r="31" spans="1:21" s="26" customFormat="1" ht="21" customHeight="1">
      <c r="A31" s="297" t="s">
        <v>364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194"/>
      <c r="U31" s="194"/>
    </row>
    <row r="32" spans="1:21" s="26" customFormat="1" ht="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193"/>
      <c r="U32" s="193"/>
    </row>
    <row r="33" spans="1:21" s="46" customFormat="1" ht="24">
      <c r="A33" s="298" t="s">
        <v>296</v>
      </c>
      <c r="B33" s="298" t="s">
        <v>275</v>
      </c>
      <c r="C33" s="299" t="s">
        <v>3</v>
      </c>
      <c r="D33" s="293" t="s">
        <v>324</v>
      </c>
      <c r="E33" s="293"/>
      <c r="F33" s="293"/>
      <c r="G33" s="293"/>
      <c r="H33" s="293"/>
      <c r="I33" s="293"/>
      <c r="J33" s="300" t="s">
        <v>0</v>
      </c>
      <c r="K33" s="300"/>
      <c r="L33" s="300"/>
      <c r="M33" s="300"/>
      <c r="N33" s="300"/>
      <c r="O33" s="300"/>
      <c r="P33" s="300"/>
      <c r="Q33" s="300"/>
      <c r="R33" s="300"/>
      <c r="S33" s="300"/>
      <c r="T33" s="291"/>
      <c r="U33" s="291"/>
    </row>
    <row r="34" spans="1:21" s="46" customFormat="1" ht="24">
      <c r="A34" s="298"/>
      <c r="B34" s="298"/>
      <c r="C34" s="299"/>
      <c r="D34" s="292" t="s">
        <v>4</v>
      </c>
      <c r="E34" s="293" t="s">
        <v>318</v>
      </c>
      <c r="F34" s="292" t="s">
        <v>319</v>
      </c>
      <c r="G34" s="292" t="s">
        <v>317</v>
      </c>
      <c r="H34" s="292" t="s">
        <v>8</v>
      </c>
      <c r="I34" s="292" t="s">
        <v>9</v>
      </c>
      <c r="J34" s="294" t="s">
        <v>10</v>
      </c>
      <c r="K34" s="295" t="s">
        <v>11</v>
      </c>
      <c r="L34" s="295" t="s">
        <v>12</v>
      </c>
      <c r="M34" s="295" t="s">
        <v>13</v>
      </c>
      <c r="N34" s="295" t="s">
        <v>14</v>
      </c>
      <c r="O34" s="295" t="s">
        <v>15</v>
      </c>
      <c r="P34" s="295" t="s">
        <v>16</v>
      </c>
      <c r="Q34" s="295" t="s">
        <v>17</v>
      </c>
      <c r="R34" s="295" t="s">
        <v>8</v>
      </c>
      <c r="S34" s="295" t="s">
        <v>9</v>
      </c>
      <c r="T34" s="296"/>
      <c r="U34" s="296"/>
    </row>
    <row r="35" spans="1:21" s="46" customFormat="1" ht="24">
      <c r="A35" s="298"/>
      <c r="B35" s="298"/>
      <c r="C35" s="299"/>
      <c r="D35" s="292"/>
      <c r="E35" s="293"/>
      <c r="F35" s="292"/>
      <c r="G35" s="292"/>
      <c r="H35" s="292"/>
      <c r="I35" s="292"/>
      <c r="J35" s="294"/>
      <c r="K35" s="295"/>
      <c r="L35" s="295"/>
      <c r="M35" s="295"/>
      <c r="N35" s="295"/>
      <c r="O35" s="295"/>
      <c r="P35" s="295"/>
      <c r="Q35" s="295"/>
      <c r="R35" s="295"/>
      <c r="S35" s="295"/>
      <c r="T35" s="296"/>
      <c r="U35" s="296"/>
    </row>
    <row r="36" spans="1:21" s="46" customFormat="1" ht="24">
      <c r="A36" s="50" t="s">
        <v>300</v>
      </c>
      <c r="B36" s="50" t="s">
        <v>42</v>
      </c>
      <c r="C36" s="51">
        <v>1518178</v>
      </c>
      <c r="D36" s="51">
        <v>1341</v>
      </c>
      <c r="E36" s="51">
        <v>2</v>
      </c>
      <c r="F36" s="51">
        <v>0</v>
      </c>
      <c r="G36" s="51">
        <v>0</v>
      </c>
      <c r="H36" s="51">
        <v>0</v>
      </c>
      <c r="I36" s="51">
        <v>1343</v>
      </c>
      <c r="J36" s="51">
        <v>980013</v>
      </c>
      <c r="K36" s="51">
        <v>5810</v>
      </c>
      <c r="L36" s="51">
        <v>0</v>
      </c>
      <c r="M36" s="51">
        <v>302644</v>
      </c>
      <c r="N36" s="51">
        <v>24143</v>
      </c>
      <c r="O36" s="51">
        <v>7961</v>
      </c>
      <c r="P36" s="51">
        <v>0</v>
      </c>
      <c r="Q36" s="51">
        <v>0</v>
      </c>
      <c r="R36" s="51">
        <v>15711</v>
      </c>
      <c r="S36" s="51">
        <v>1336282</v>
      </c>
      <c r="T36" s="48"/>
      <c r="U36" s="48"/>
    </row>
    <row r="37" spans="1:21" s="46" customFormat="1" ht="24">
      <c r="A37" s="50" t="s">
        <v>300</v>
      </c>
      <c r="B37" s="50" t="s">
        <v>83</v>
      </c>
      <c r="C37" s="51">
        <v>61040</v>
      </c>
      <c r="D37" s="51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107</v>
      </c>
      <c r="J37" s="51">
        <v>50000</v>
      </c>
      <c r="K37" s="51">
        <v>1500</v>
      </c>
      <c r="L37" s="51">
        <v>500</v>
      </c>
      <c r="M37" s="51">
        <v>0</v>
      </c>
      <c r="N37" s="51">
        <v>0</v>
      </c>
      <c r="O37" s="51">
        <v>8200</v>
      </c>
      <c r="P37" s="51">
        <v>0</v>
      </c>
      <c r="Q37" s="51">
        <v>0</v>
      </c>
      <c r="R37" s="51">
        <v>0</v>
      </c>
      <c r="S37" s="51">
        <v>60200</v>
      </c>
      <c r="T37" s="48"/>
      <c r="U37" s="48"/>
    </row>
    <row r="38" spans="1:21" s="46" customFormat="1" ht="24">
      <c r="A38" s="50" t="s">
        <v>300</v>
      </c>
      <c r="B38" s="50" t="s">
        <v>152</v>
      </c>
      <c r="C38" s="51">
        <v>369813</v>
      </c>
      <c r="D38" s="51">
        <v>351</v>
      </c>
      <c r="E38" s="51">
        <v>0</v>
      </c>
      <c r="F38" s="51">
        <v>0</v>
      </c>
      <c r="G38" s="51">
        <v>0</v>
      </c>
      <c r="H38" s="51">
        <v>0</v>
      </c>
      <c r="I38" s="51">
        <v>351</v>
      </c>
      <c r="J38" s="51">
        <v>358443</v>
      </c>
      <c r="K38" s="51">
        <v>6104</v>
      </c>
      <c r="L38" s="51">
        <v>13</v>
      </c>
      <c r="M38" s="51">
        <v>44</v>
      </c>
      <c r="N38" s="51">
        <v>4960</v>
      </c>
      <c r="O38" s="51">
        <v>63</v>
      </c>
      <c r="P38" s="51">
        <v>149</v>
      </c>
      <c r="Q38" s="51">
        <v>0</v>
      </c>
      <c r="R38" s="51">
        <v>37</v>
      </c>
      <c r="S38" s="51">
        <v>369813</v>
      </c>
      <c r="T38" s="48"/>
      <c r="U38" s="48"/>
    </row>
    <row r="39" spans="1:21" s="46" customFormat="1" ht="24">
      <c r="A39" s="50" t="s">
        <v>300</v>
      </c>
      <c r="B39" s="50" t="s">
        <v>156</v>
      </c>
      <c r="C39" s="51">
        <v>769563</v>
      </c>
      <c r="D39" s="51">
        <v>663</v>
      </c>
      <c r="E39" s="51">
        <v>0</v>
      </c>
      <c r="F39" s="51">
        <v>0</v>
      </c>
      <c r="G39" s="51">
        <v>8</v>
      </c>
      <c r="H39" s="51">
        <v>255</v>
      </c>
      <c r="I39" s="51">
        <v>927</v>
      </c>
      <c r="J39" s="51">
        <v>765647</v>
      </c>
      <c r="K39" s="51">
        <v>232</v>
      </c>
      <c r="L39" s="51">
        <v>0</v>
      </c>
      <c r="M39" s="51">
        <v>1200</v>
      </c>
      <c r="N39" s="51">
        <v>709</v>
      </c>
      <c r="O39" s="51">
        <v>976</v>
      </c>
      <c r="P39" s="51">
        <v>771</v>
      </c>
      <c r="Q39" s="51">
        <v>0</v>
      </c>
      <c r="R39" s="51">
        <v>28</v>
      </c>
      <c r="S39" s="51">
        <v>769563</v>
      </c>
      <c r="T39" s="48"/>
      <c r="U39" s="48"/>
    </row>
    <row r="40" spans="1:21" s="46" customFormat="1" ht="24">
      <c r="A40" s="50" t="s">
        <v>300</v>
      </c>
      <c r="B40" s="50" t="s">
        <v>266</v>
      </c>
      <c r="C40" s="51">
        <v>129696</v>
      </c>
      <c r="D40" s="51">
        <v>75</v>
      </c>
      <c r="E40" s="51">
        <v>0</v>
      </c>
      <c r="F40" s="51">
        <v>0</v>
      </c>
      <c r="G40" s="51">
        <v>0</v>
      </c>
      <c r="H40" s="51">
        <v>0</v>
      </c>
      <c r="I40" s="51">
        <v>75</v>
      </c>
      <c r="J40" s="51">
        <v>59266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59266</v>
      </c>
      <c r="T40" s="48"/>
      <c r="U40" s="48"/>
    </row>
    <row r="41" spans="1:21" s="46" customFormat="1" ht="24">
      <c r="A41" s="50" t="s">
        <v>297</v>
      </c>
      <c r="B41" s="50" t="s">
        <v>58</v>
      </c>
      <c r="C41" s="51">
        <v>938828</v>
      </c>
      <c r="D41" s="51">
        <v>911</v>
      </c>
      <c r="E41" s="51">
        <v>186</v>
      </c>
      <c r="F41" s="51">
        <v>0</v>
      </c>
      <c r="G41" s="51">
        <v>56</v>
      </c>
      <c r="H41" s="51">
        <v>0</v>
      </c>
      <c r="I41" s="51">
        <v>1153</v>
      </c>
      <c r="J41" s="51">
        <v>856900</v>
      </c>
      <c r="K41" s="51">
        <v>164</v>
      </c>
      <c r="L41" s="51">
        <v>0</v>
      </c>
      <c r="M41" s="51">
        <v>10921</v>
      </c>
      <c r="N41" s="51">
        <v>9195</v>
      </c>
      <c r="O41" s="51">
        <v>64</v>
      </c>
      <c r="P41" s="51">
        <v>626</v>
      </c>
      <c r="Q41" s="51">
        <v>82</v>
      </c>
      <c r="R41" s="51">
        <v>2061</v>
      </c>
      <c r="S41" s="51">
        <v>880013</v>
      </c>
      <c r="T41" s="48"/>
      <c r="U41" s="48"/>
    </row>
    <row r="42" spans="1:21" s="46" customFormat="1" ht="24">
      <c r="A42" s="50" t="s">
        <v>297</v>
      </c>
      <c r="B42" s="50" t="s">
        <v>89</v>
      </c>
      <c r="C42" s="51">
        <v>199000</v>
      </c>
      <c r="D42" s="51">
        <v>209</v>
      </c>
      <c r="E42" s="51">
        <v>1</v>
      </c>
      <c r="F42" s="51">
        <v>0</v>
      </c>
      <c r="G42" s="51">
        <v>13</v>
      </c>
      <c r="H42" s="51">
        <v>0</v>
      </c>
      <c r="I42" s="51">
        <v>224</v>
      </c>
      <c r="J42" s="51">
        <v>122200</v>
      </c>
      <c r="K42" s="51">
        <v>6270</v>
      </c>
      <c r="L42" s="51">
        <v>5230</v>
      </c>
      <c r="M42" s="51">
        <v>0</v>
      </c>
      <c r="N42" s="51">
        <v>4850</v>
      </c>
      <c r="O42" s="51">
        <v>3070</v>
      </c>
      <c r="P42" s="51">
        <v>270</v>
      </c>
      <c r="Q42" s="51">
        <v>57110</v>
      </c>
      <c r="R42" s="51">
        <v>0</v>
      </c>
      <c r="S42" s="51">
        <v>199000</v>
      </c>
      <c r="T42" s="48"/>
      <c r="U42" s="48"/>
    </row>
    <row r="43" spans="1:21" s="46" customFormat="1" ht="24">
      <c r="A43" s="50" t="s">
        <v>297</v>
      </c>
      <c r="B43" s="50" t="s">
        <v>109</v>
      </c>
      <c r="C43" s="51">
        <v>373453</v>
      </c>
      <c r="D43" s="51">
        <v>419</v>
      </c>
      <c r="E43" s="51">
        <v>4</v>
      </c>
      <c r="F43" s="51">
        <v>0</v>
      </c>
      <c r="G43" s="51">
        <v>0</v>
      </c>
      <c r="H43" s="51">
        <v>0</v>
      </c>
      <c r="I43" s="51">
        <v>423</v>
      </c>
      <c r="J43" s="51">
        <v>346478</v>
      </c>
      <c r="K43" s="51">
        <v>1000</v>
      </c>
      <c r="L43" s="51">
        <v>0</v>
      </c>
      <c r="M43" s="51">
        <v>8000</v>
      </c>
      <c r="N43" s="51">
        <v>2740</v>
      </c>
      <c r="O43" s="51">
        <v>445</v>
      </c>
      <c r="P43" s="51">
        <v>740</v>
      </c>
      <c r="Q43" s="51">
        <v>15</v>
      </c>
      <c r="R43" s="51">
        <v>460</v>
      </c>
      <c r="S43" s="51">
        <v>359878</v>
      </c>
      <c r="T43" s="48"/>
      <c r="U43" s="48"/>
    </row>
    <row r="44" spans="1:21" s="46" customFormat="1" ht="24">
      <c r="A44" s="50" t="s">
        <v>297</v>
      </c>
      <c r="B44" s="50" t="s">
        <v>112</v>
      </c>
      <c r="C44" s="51">
        <v>382063</v>
      </c>
      <c r="D44" s="51">
        <v>288</v>
      </c>
      <c r="E44" s="51">
        <v>0</v>
      </c>
      <c r="F44" s="51">
        <v>0</v>
      </c>
      <c r="G44" s="51">
        <v>0</v>
      </c>
      <c r="H44" s="51">
        <v>0</v>
      </c>
      <c r="I44" s="51">
        <v>288</v>
      </c>
      <c r="J44" s="51">
        <v>272457</v>
      </c>
      <c r="K44" s="51">
        <v>45</v>
      </c>
      <c r="L44" s="51">
        <v>5427</v>
      </c>
      <c r="M44" s="51">
        <v>0</v>
      </c>
      <c r="N44" s="51">
        <v>16349</v>
      </c>
      <c r="O44" s="51">
        <v>5625</v>
      </c>
      <c r="P44" s="51">
        <v>4318</v>
      </c>
      <c r="Q44" s="51">
        <v>1420</v>
      </c>
      <c r="R44" s="51">
        <v>1628</v>
      </c>
      <c r="S44" s="51">
        <v>307269</v>
      </c>
      <c r="T44" s="48"/>
      <c r="U44" s="48"/>
    </row>
    <row r="45" spans="1:21" s="46" customFormat="1" ht="24">
      <c r="A45" s="50" t="s">
        <v>297</v>
      </c>
      <c r="B45" s="50" t="s">
        <v>126</v>
      </c>
      <c r="C45" s="51">
        <v>499125</v>
      </c>
      <c r="D45" s="51">
        <v>550</v>
      </c>
      <c r="E45" s="51">
        <v>21</v>
      </c>
      <c r="F45" s="51">
        <v>4</v>
      </c>
      <c r="G45" s="51">
        <v>4</v>
      </c>
      <c r="H45" s="51">
        <v>0</v>
      </c>
      <c r="I45" s="51">
        <v>579</v>
      </c>
      <c r="J45" s="51">
        <v>401721</v>
      </c>
      <c r="K45" s="51">
        <v>0</v>
      </c>
      <c r="L45" s="51">
        <v>0</v>
      </c>
      <c r="M45" s="51">
        <v>0</v>
      </c>
      <c r="N45" s="51">
        <v>11493</v>
      </c>
      <c r="O45" s="51">
        <v>0</v>
      </c>
      <c r="P45" s="51">
        <v>11478</v>
      </c>
      <c r="Q45" s="51">
        <v>175</v>
      </c>
      <c r="R45" s="51">
        <v>4001</v>
      </c>
      <c r="S45" s="51">
        <v>428868</v>
      </c>
      <c r="T45" s="48"/>
      <c r="U45" s="48"/>
    </row>
    <row r="46" spans="1:21" s="46" customFormat="1" ht="24">
      <c r="A46" s="50" t="s">
        <v>297</v>
      </c>
      <c r="B46" s="50" t="s">
        <v>137</v>
      </c>
      <c r="C46" s="51">
        <v>1389688</v>
      </c>
      <c r="D46" s="51">
        <v>1319</v>
      </c>
      <c r="E46" s="51">
        <v>23</v>
      </c>
      <c r="F46" s="51">
        <v>14</v>
      </c>
      <c r="G46" s="51">
        <v>184</v>
      </c>
      <c r="H46" s="51">
        <v>3</v>
      </c>
      <c r="I46" s="51">
        <v>1542</v>
      </c>
      <c r="J46" s="51">
        <v>905013</v>
      </c>
      <c r="K46" s="51">
        <v>5748</v>
      </c>
      <c r="L46" s="51">
        <v>4028</v>
      </c>
      <c r="M46" s="51">
        <v>0</v>
      </c>
      <c r="N46" s="51">
        <v>93618</v>
      </c>
      <c r="O46" s="51">
        <v>4042</v>
      </c>
      <c r="P46" s="51">
        <v>9521</v>
      </c>
      <c r="Q46" s="51">
        <v>7670</v>
      </c>
      <c r="R46" s="51">
        <v>58866</v>
      </c>
      <c r="S46" s="51">
        <v>1088506</v>
      </c>
      <c r="T46" s="48"/>
      <c r="U46" s="48"/>
    </row>
    <row r="47" spans="1:21" s="46" customFormat="1" ht="24">
      <c r="A47" s="50" t="s">
        <v>297</v>
      </c>
      <c r="B47" s="50" t="s">
        <v>198</v>
      </c>
      <c r="C47" s="51">
        <v>338125</v>
      </c>
      <c r="D47" s="51">
        <v>606</v>
      </c>
      <c r="E47" s="51">
        <v>6</v>
      </c>
      <c r="F47" s="51">
        <v>0</v>
      </c>
      <c r="G47" s="51">
        <v>0</v>
      </c>
      <c r="H47" s="51">
        <v>0</v>
      </c>
      <c r="I47" s="51">
        <v>612</v>
      </c>
      <c r="J47" s="51">
        <v>284359</v>
      </c>
      <c r="K47" s="51">
        <v>8313</v>
      </c>
      <c r="L47" s="51">
        <v>3671</v>
      </c>
      <c r="M47" s="51">
        <v>12548</v>
      </c>
      <c r="N47" s="51">
        <v>4143</v>
      </c>
      <c r="O47" s="51">
        <v>3741</v>
      </c>
      <c r="P47" s="51">
        <v>1621</v>
      </c>
      <c r="Q47" s="51">
        <v>0</v>
      </c>
      <c r="R47" s="51">
        <v>0</v>
      </c>
      <c r="S47" s="51">
        <v>318396</v>
      </c>
      <c r="T47" s="48"/>
      <c r="U47" s="48"/>
    </row>
    <row r="48" spans="1:21" s="46" customFormat="1" ht="24">
      <c r="A48" s="50" t="s">
        <v>297</v>
      </c>
      <c r="B48" s="50" t="s">
        <v>221</v>
      </c>
      <c r="C48" s="51">
        <v>242000</v>
      </c>
      <c r="D48" s="51">
        <v>304</v>
      </c>
      <c r="E48" s="51">
        <v>0</v>
      </c>
      <c r="F48" s="51">
        <v>0</v>
      </c>
      <c r="G48" s="51">
        <v>11</v>
      </c>
      <c r="H48" s="51">
        <v>0</v>
      </c>
      <c r="I48" s="51">
        <v>315</v>
      </c>
      <c r="J48" s="51">
        <v>69746</v>
      </c>
      <c r="K48" s="51">
        <v>0</v>
      </c>
      <c r="L48" s="51">
        <v>9822</v>
      </c>
      <c r="M48" s="51">
        <v>0</v>
      </c>
      <c r="N48" s="51">
        <v>0</v>
      </c>
      <c r="O48" s="51">
        <v>0</v>
      </c>
      <c r="P48" s="51">
        <v>99635</v>
      </c>
      <c r="Q48" s="51">
        <v>4700</v>
      </c>
      <c r="R48" s="51">
        <v>1435</v>
      </c>
      <c r="S48" s="51">
        <v>185338</v>
      </c>
      <c r="T48" s="48"/>
      <c r="U48" s="48"/>
    </row>
    <row r="49" spans="1:21" s="46" customFormat="1" ht="24">
      <c r="A49" s="50" t="s">
        <v>297</v>
      </c>
      <c r="B49" s="50" t="s">
        <v>226</v>
      </c>
      <c r="C49" s="51">
        <v>50724</v>
      </c>
      <c r="D49" s="51">
        <v>19</v>
      </c>
      <c r="E49" s="51">
        <v>0</v>
      </c>
      <c r="F49" s="51">
        <v>0</v>
      </c>
      <c r="G49" s="51">
        <v>13</v>
      </c>
      <c r="H49" s="51">
        <v>0</v>
      </c>
      <c r="I49" s="51">
        <v>32</v>
      </c>
      <c r="J49" s="51">
        <v>11380</v>
      </c>
      <c r="K49" s="51">
        <v>0</v>
      </c>
      <c r="L49" s="51">
        <v>1671</v>
      </c>
      <c r="M49" s="51">
        <v>0</v>
      </c>
      <c r="N49" s="51">
        <v>13000</v>
      </c>
      <c r="O49" s="51">
        <v>4342</v>
      </c>
      <c r="P49" s="51">
        <v>3343</v>
      </c>
      <c r="Q49" s="51">
        <v>188</v>
      </c>
      <c r="R49" s="51">
        <v>0</v>
      </c>
      <c r="S49" s="51">
        <v>33924</v>
      </c>
      <c r="T49" s="48"/>
      <c r="U49" s="48"/>
    </row>
    <row r="50" spans="1:21" s="46" customFormat="1" ht="24">
      <c r="A50" s="50" t="s">
        <v>297</v>
      </c>
      <c r="B50" s="50" t="s">
        <v>231</v>
      </c>
      <c r="C50" s="51">
        <v>306125</v>
      </c>
      <c r="D50" s="51">
        <v>370</v>
      </c>
      <c r="E50" s="51">
        <v>2</v>
      </c>
      <c r="F50" s="51">
        <v>1</v>
      </c>
      <c r="G50" s="51">
        <v>0</v>
      </c>
      <c r="H50" s="51">
        <v>0</v>
      </c>
      <c r="I50" s="51">
        <v>373</v>
      </c>
      <c r="J50" s="51">
        <v>295175</v>
      </c>
      <c r="K50" s="51">
        <v>3000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298175</v>
      </c>
      <c r="T50" s="48"/>
      <c r="U50" s="48"/>
    </row>
    <row r="51" spans="1:21" s="46" customFormat="1" ht="24">
      <c r="A51" s="50" t="s">
        <v>297</v>
      </c>
      <c r="B51" s="50" t="s">
        <v>235</v>
      </c>
      <c r="C51" s="51">
        <v>857000</v>
      </c>
      <c r="D51" s="51">
        <v>869</v>
      </c>
      <c r="E51" s="51">
        <v>0</v>
      </c>
      <c r="F51" s="51">
        <v>0</v>
      </c>
      <c r="G51" s="51">
        <v>0</v>
      </c>
      <c r="H51" s="51">
        <v>0</v>
      </c>
      <c r="I51" s="51">
        <v>869</v>
      </c>
      <c r="J51" s="51">
        <v>786747</v>
      </c>
      <c r="K51" s="51">
        <v>0</v>
      </c>
      <c r="L51" s="51">
        <v>0</v>
      </c>
      <c r="M51" s="51">
        <v>32716</v>
      </c>
      <c r="N51" s="51">
        <v>13840</v>
      </c>
      <c r="O51" s="51">
        <v>0</v>
      </c>
      <c r="P51" s="51">
        <v>3231</v>
      </c>
      <c r="Q51" s="51">
        <v>0</v>
      </c>
      <c r="R51" s="51">
        <v>0</v>
      </c>
      <c r="S51" s="51">
        <v>836534</v>
      </c>
      <c r="T51" s="48"/>
      <c r="U51" s="48"/>
    </row>
    <row r="52" spans="1:21" s="46" customFormat="1" ht="24">
      <c r="A52" s="50" t="s">
        <v>297</v>
      </c>
      <c r="B52" s="50" t="s">
        <v>257</v>
      </c>
      <c r="C52" s="51">
        <v>184063</v>
      </c>
      <c r="D52" s="51">
        <v>139</v>
      </c>
      <c r="E52" s="51">
        <v>12</v>
      </c>
      <c r="F52" s="51">
        <v>0</v>
      </c>
      <c r="G52" s="51">
        <v>0</v>
      </c>
      <c r="H52" s="51">
        <v>0</v>
      </c>
      <c r="I52" s="51">
        <v>151</v>
      </c>
      <c r="J52" s="51">
        <v>145000</v>
      </c>
      <c r="K52" s="51">
        <v>0</v>
      </c>
      <c r="L52" s="51">
        <v>0</v>
      </c>
      <c r="M52" s="51">
        <v>375</v>
      </c>
      <c r="N52" s="51">
        <v>7320</v>
      </c>
      <c r="O52" s="51">
        <v>0</v>
      </c>
      <c r="P52" s="51">
        <v>2052</v>
      </c>
      <c r="Q52" s="51">
        <v>0</v>
      </c>
      <c r="R52" s="51">
        <v>0</v>
      </c>
      <c r="S52" s="51">
        <v>154747</v>
      </c>
      <c r="T52" s="48"/>
      <c r="U52" s="48"/>
    </row>
    <row r="53" spans="1:21" s="46" customFormat="1" ht="24">
      <c r="A53" s="50" t="s">
        <v>298</v>
      </c>
      <c r="B53" s="50" t="s">
        <v>241</v>
      </c>
      <c r="C53" s="51">
        <v>772118</v>
      </c>
      <c r="D53" s="51">
        <v>800</v>
      </c>
      <c r="E53" s="51">
        <v>3</v>
      </c>
      <c r="F53" s="51">
        <v>0</v>
      </c>
      <c r="G53" s="51">
        <v>0</v>
      </c>
      <c r="H53" s="51">
        <v>75</v>
      </c>
      <c r="I53" s="51">
        <v>878</v>
      </c>
      <c r="J53" s="51">
        <v>655809</v>
      </c>
      <c r="K53" s="51">
        <v>6987</v>
      </c>
      <c r="L53" s="51">
        <v>0</v>
      </c>
      <c r="M53" s="51">
        <v>19281</v>
      </c>
      <c r="N53" s="51">
        <v>38227</v>
      </c>
      <c r="O53" s="51">
        <v>3270</v>
      </c>
      <c r="P53" s="51">
        <v>25626</v>
      </c>
      <c r="Q53" s="51">
        <v>4028</v>
      </c>
      <c r="R53" s="51">
        <v>8895</v>
      </c>
      <c r="S53" s="51">
        <v>762123</v>
      </c>
      <c r="T53" s="48"/>
      <c r="U53" s="48"/>
    </row>
    <row r="54" spans="1:21" s="46" customFormat="1" ht="24">
      <c r="A54" s="50" t="s">
        <v>299</v>
      </c>
      <c r="B54" s="50" t="s">
        <v>51</v>
      </c>
      <c r="C54" s="51">
        <v>404000</v>
      </c>
      <c r="D54" s="51">
        <v>570</v>
      </c>
      <c r="E54" s="51">
        <v>20</v>
      </c>
      <c r="F54" s="51">
        <v>1</v>
      </c>
      <c r="G54" s="51">
        <v>45</v>
      </c>
      <c r="H54" s="51">
        <v>0</v>
      </c>
      <c r="I54" s="51">
        <v>636</v>
      </c>
      <c r="J54" s="51">
        <v>234500</v>
      </c>
      <c r="K54" s="51">
        <v>0</v>
      </c>
      <c r="L54" s="51">
        <v>0</v>
      </c>
      <c r="M54" s="51">
        <v>0</v>
      </c>
      <c r="N54" s="51">
        <v>8531</v>
      </c>
      <c r="O54" s="51">
        <v>0</v>
      </c>
      <c r="P54" s="51">
        <v>100907</v>
      </c>
      <c r="Q54" s="51">
        <v>48996</v>
      </c>
      <c r="R54" s="51">
        <v>8241</v>
      </c>
      <c r="S54" s="51">
        <v>401175</v>
      </c>
      <c r="T54" s="48"/>
      <c r="U54" s="48"/>
    </row>
    <row r="55" spans="1:21" s="26" customFormat="1" ht="24">
      <c r="A55" s="52"/>
      <c r="B55" s="52" t="s">
        <v>9</v>
      </c>
      <c r="C55" s="53">
        <f>SUM(C36:C54)</f>
        <v>9784602</v>
      </c>
      <c r="D55" s="53">
        <f>SUM(D36:D54)</f>
        <v>9910</v>
      </c>
      <c r="E55" s="53">
        <f t="shared" ref="E55:S55" si="2">SUM(E36:E54)</f>
        <v>280</v>
      </c>
      <c r="F55" s="53">
        <f t="shared" si="2"/>
        <v>20</v>
      </c>
      <c r="G55" s="53">
        <f t="shared" si="2"/>
        <v>334</v>
      </c>
      <c r="H55" s="53">
        <f t="shared" si="2"/>
        <v>333</v>
      </c>
      <c r="I55" s="53">
        <f t="shared" si="2"/>
        <v>10878</v>
      </c>
      <c r="J55" s="53">
        <f t="shared" si="2"/>
        <v>7600854</v>
      </c>
      <c r="K55" s="53">
        <f t="shared" si="2"/>
        <v>45173</v>
      </c>
      <c r="L55" s="53">
        <f t="shared" si="2"/>
        <v>30362</v>
      </c>
      <c r="M55" s="53">
        <f t="shared" si="2"/>
        <v>387729</v>
      </c>
      <c r="N55" s="53">
        <f t="shared" si="2"/>
        <v>253118</v>
      </c>
      <c r="O55" s="53">
        <f t="shared" si="2"/>
        <v>41799</v>
      </c>
      <c r="P55" s="53">
        <f t="shared" si="2"/>
        <v>264288</v>
      </c>
      <c r="Q55" s="53">
        <f t="shared" si="2"/>
        <v>124384</v>
      </c>
      <c r="R55" s="53">
        <f t="shared" si="2"/>
        <v>101363</v>
      </c>
      <c r="S55" s="53">
        <f t="shared" si="2"/>
        <v>8849070</v>
      </c>
      <c r="T55" s="55"/>
      <c r="U55" s="55"/>
    </row>
    <row r="56" spans="1:21" s="46" customFormat="1" ht="24"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5"/>
      <c r="U56" s="45"/>
    </row>
    <row r="57" spans="1:21" ht="24">
      <c r="A57" s="301" t="s">
        <v>363</v>
      </c>
      <c r="B57" s="301"/>
      <c r="C57" s="301"/>
      <c r="D57" s="301"/>
      <c r="T57" s="6"/>
      <c r="U57" s="6"/>
    </row>
    <row r="58" spans="1:21">
      <c r="A58" s="298" t="s">
        <v>296</v>
      </c>
      <c r="B58" s="298" t="s">
        <v>275</v>
      </c>
      <c r="C58" s="299" t="s">
        <v>3</v>
      </c>
      <c r="D58" s="299" t="s">
        <v>325</v>
      </c>
    </row>
    <row r="59" spans="1:21">
      <c r="A59" s="298"/>
      <c r="B59" s="298"/>
      <c r="C59" s="299"/>
      <c r="D59" s="299"/>
    </row>
    <row r="60" spans="1:21">
      <c r="A60" s="298"/>
      <c r="B60" s="298"/>
      <c r="C60" s="299"/>
      <c r="D60" s="299"/>
    </row>
    <row r="61" spans="1:21" ht="24">
      <c r="A61" s="50" t="s">
        <v>300</v>
      </c>
      <c r="B61" s="50" t="s">
        <v>42</v>
      </c>
      <c r="C61" s="51">
        <v>1518178</v>
      </c>
      <c r="D61" s="51">
        <v>980013</v>
      </c>
    </row>
    <row r="62" spans="1:21" ht="24">
      <c r="A62" s="50" t="s">
        <v>300</v>
      </c>
      <c r="B62" s="50" t="s">
        <v>83</v>
      </c>
      <c r="C62" s="51">
        <v>61040</v>
      </c>
      <c r="D62" s="51">
        <v>50000</v>
      </c>
    </row>
    <row r="63" spans="1:21" ht="24">
      <c r="A63" s="50" t="s">
        <v>300</v>
      </c>
      <c r="B63" s="50" t="s">
        <v>152</v>
      </c>
      <c r="C63" s="51">
        <v>369813</v>
      </c>
      <c r="D63" s="51">
        <v>358443</v>
      </c>
    </row>
    <row r="64" spans="1:21" ht="24">
      <c r="A64" s="50" t="s">
        <v>300</v>
      </c>
      <c r="B64" s="50" t="s">
        <v>156</v>
      </c>
      <c r="C64" s="51">
        <v>769563</v>
      </c>
      <c r="D64" s="51">
        <v>765647</v>
      </c>
    </row>
    <row r="65" spans="1:4" ht="24">
      <c r="A65" s="50" t="s">
        <v>300</v>
      </c>
      <c r="B65" s="50" t="s">
        <v>266</v>
      </c>
      <c r="C65" s="51">
        <v>129696</v>
      </c>
      <c r="D65" s="51">
        <v>59266</v>
      </c>
    </row>
    <row r="66" spans="1:4" ht="24">
      <c r="A66" s="50" t="s">
        <v>297</v>
      </c>
      <c r="B66" s="50" t="s">
        <v>58</v>
      </c>
      <c r="C66" s="51">
        <v>938828</v>
      </c>
      <c r="D66" s="51">
        <v>856900</v>
      </c>
    </row>
    <row r="67" spans="1:4" ht="24">
      <c r="A67" s="50" t="s">
        <v>297</v>
      </c>
      <c r="B67" s="50" t="s">
        <v>89</v>
      </c>
      <c r="C67" s="51">
        <v>199000</v>
      </c>
      <c r="D67" s="51">
        <v>122200</v>
      </c>
    </row>
    <row r="68" spans="1:4" ht="24">
      <c r="A68" s="50" t="s">
        <v>297</v>
      </c>
      <c r="B68" s="50" t="s">
        <v>109</v>
      </c>
      <c r="C68" s="51">
        <v>373453</v>
      </c>
      <c r="D68" s="51">
        <v>346478</v>
      </c>
    </row>
    <row r="69" spans="1:4" ht="24">
      <c r="A69" s="50" t="s">
        <v>297</v>
      </c>
      <c r="B69" s="50" t="s">
        <v>112</v>
      </c>
      <c r="C69" s="51">
        <v>382063</v>
      </c>
      <c r="D69" s="51">
        <v>272457</v>
      </c>
    </row>
    <row r="70" spans="1:4" ht="24">
      <c r="A70" s="50" t="s">
        <v>297</v>
      </c>
      <c r="B70" s="50" t="s">
        <v>126</v>
      </c>
      <c r="C70" s="51">
        <v>499125</v>
      </c>
      <c r="D70" s="51">
        <v>401721</v>
      </c>
    </row>
    <row r="71" spans="1:4" ht="24">
      <c r="A71" s="50" t="s">
        <v>297</v>
      </c>
      <c r="B71" s="50" t="s">
        <v>137</v>
      </c>
      <c r="C71" s="51">
        <v>1389688</v>
      </c>
      <c r="D71" s="51">
        <v>905013</v>
      </c>
    </row>
    <row r="72" spans="1:4" ht="24">
      <c r="A72" s="50" t="s">
        <v>297</v>
      </c>
      <c r="B72" s="50" t="s">
        <v>198</v>
      </c>
      <c r="C72" s="51">
        <v>338125</v>
      </c>
      <c r="D72" s="51">
        <v>284359</v>
      </c>
    </row>
    <row r="73" spans="1:4" ht="24">
      <c r="A73" s="50" t="s">
        <v>297</v>
      </c>
      <c r="B73" s="50" t="s">
        <v>221</v>
      </c>
      <c r="C73" s="51">
        <v>242000</v>
      </c>
      <c r="D73" s="51">
        <v>69746</v>
      </c>
    </row>
    <row r="74" spans="1:4" ht="24">
      <c r="A74" s="50" t="s">
        <v>297</v>
      </c>
      <c r="B74" s="50" t="s">
        <v>226</v>
      </c>
      <c r="C74" s="51">
        <v>50724</v>
      </c>
      <c r="D74" s="51">
        <v>11380</v>
      </c>
    </row>
    <row r="75" spans="1:4" ht="24">
      <c r="A75" s="50" t="s">
        <v>297</v>
      </c>
      <c r="B75" s="50" t="s">
        <v>231</v>
      </c>
      <c r="C75" s="51">
        <v>306125</v>
      </c>
      <c r="D75" s="51">
        <v>295175</v>
      </c>
    </row>
    <row r="76" spans="1:4" ht="24">
      <c r="A76" s="50" t="s">
        <v>297</v>
      </c>
      <c r="B76" s="50" t="s">
        <v>235</v>
      </c>
      <c r="C76" s="51">
        <v>857000</v>
      </c>
      <c r="D76" s="51">
        <v>786747</v>
      </c>
    </row>
    <row r="77" spans="1:4" ht="24">
      <c r="A77" s="50" t="s">
        <v>297</v>
      </c>
      <c r="B77" s="50" t="s">
        <v>257</v>
      </c>
      <c r="C77" s="51">
        <v>184063</v>
      </c>
      <c r="D77" s="51">
        <v>145000</v>
      </c>
    </row>
    <row r="78" spans="1:4" ht="24">
      <c r="A78" s="50" t="s">
        <v>298</v>
      </c>
      <c r="B78" s="50" t="s">
        <v>241</v>
      </c>
      <c r="C78" s="51">
        <v>772118</v>
      </c>
      <c r="D78" s="51">
        <v>655809</v>
      </c>
    </row>
    <row r="79" spans="1:4" ht="24">
      <c r="A79" s="50" t="s">
        <v>299</v>
      </c>
      <c r="B79" s="50" t="s">
        <v>51</v>
      </c>
      <c r="C79" s="51">
        <v>404000</v>
      </c>
      <c r="D79" s="51">
        <v>234500</v>
      </c>
    </row>
    <row r="80" spans="1:4" ht="24">
      <c r="A80" s="52"/>
      <c r="B80" s="52" t="s">
        <v>9</v>
      </c>
      <c r="C80" s="53">
        <v>9784602</v>
      </c>
      <c r="D80" s="53">
        <v>7600854</v>
      </c>
    </row>
  </sheetData>
  <mergeCells count="30">
    <mergeCell ref="A58:A60"/>
    <mergeCell ref="B58:B60"/>
    <mergeCell ref="C58:C60"/>
    <mergeCell ref="D58:D60"/>
    <mergeCell ref="A57:D57"/>
    <mergeCell ref="A31:S31"/>
    <mergeCell ref="B33:B35"/>
    <mergeCell ref="C33:C35"/>
    <mergeCell ref="D33:I33"/>
    <mergeCell ref="J33:S33"/>
    <mergeCell ref="N34:N35"/>
    <mergeCell ref="A33:A35"/>
    <mergeCell ref="O34:O35"/>
    <mergeCell ref="P34:P35"/>
    <mergeCell ref="H34:H35"/>
    <mergeCell ref="Q34:Q35"/>
    <mergeCell ref="R34:R35"/>
    <mergeCell ref="S34:S35"/>
    <mergeCell ref="I34:I35"/>
    <mergeCell ref="T33:U33"/>
    <mergeCell ref="D34:D35"/>
    <mergeCell ref="E34:E35"/>
    <mergeCell ref="F34:F35"/>
    <mergeCell ref="G34:G35"/>
    <mergeCell ref="J34:J35"/>
    <mergeCell ref="K34:K35"/>
    <mergeCell ref="L34:L35"/>
    <mergeCell ref="M34:M35"/>
    <mergeCell ref="U34:U35"/>
    <mergeCell ref="T34:T3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3:S15"/>
  <sheetViews>
    <sheetView workbookViewId="0">
      <selection activeCell="B14" sqref="B14:R15"/>
    </sheetView>
  </sheetViews>
  <sheetFormatPr defaultRowHeight="12.75"/>
  <cols>
    <col min="1" max="1" width="10.5703125" customWidth="1"/>
    <col min="2" max="2" width="18.42578125" bestFit="1" customWidth="1"/>
    <col min="3" max="3" width="12.5703125" customWidth="1"/>
    <col min="4" max="4" width="13.5703125" bestFit="1" customWidth="1"/>
    <col min="5" max="5" width="13.5703125" customWidth="1"/>
    <col min="6" max="6" width="11.42578125" customWidth="1"/>
    <col min="7" max="7" width="10.5703125" customWidth="1"/>
    <col min="8" max="8" width="12" bestFit="1" customWidth="1"/>
    <col min="9" max="9" width="13.5703125" bestFit="1" customWidth="1"/>
    <col min="10" max="10" width="11.7109375" customWidth="1"/>
    <col min="11" max="11" width="12.140625" bestFit="1" customWidth="1"/>
    <col min="12" max="12" width="10.85546875" customWidth="1"/>
    <col min="13" max="13" width="11.85546875" bestFit="1" customWidth="1"/>
    <col min="14" max="14" width="14.28515625" bestFit="1" customWidth="1"/>
    <col min="15" max="15" width="12.85546875" customWidth="1"/>
    <col min="16" max="16" width="11.7109375" customWidth="1"/>
    <col min="17" max="17" width="11.5703125" bestFit="1" customWidth="1"/>
    <col min="18" max="18" width="11.28515625" bestFit="1" customWidth="1"/>
    <col min="19" max="19" width="12.5703125" bestFit="1" customWidth="1"/>
  </cols>
  <sheetData>
    <row r="3" spans="1:19">
      <c r="A3" s="8"/>
      <c r="B3" s="9" t="s">
        <v>278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</row>
    <row r="4" spans="1:19">
      <c r="A4" s="9" t="s">
        <v>296</v>
      </c>
      <c r="B4" s="8" t="s">
        <v>321</v>
      </c>
      <c r="C4" s="18" t="s">
        <v>279</v>
      </c>
      <c r="D4" s="18" t="s">
        <v>280</v>
      </c>
      <c r="E4" s="18" t="s">
        <v>281</v>
      </c>
      <c r="F4" s="18" t="s">
        <v>282</v>
      </c>
      <c r="G4" s="18" t="s">
        <v>283</v>
      </c>
      <c r="H4" s="18" t="s">
        <v>284</v>
      </c>
      <c r="I4" s="18" t="s">
        <v>285</v>
      </c>
      <c r="J4" s="18" t="s">
        <v>286</v>
      </c>
      <c r="K4" s="18" t="s">
        <v>287</v>
      </c>
      <c r="L4" s="18" t="s">
        <v>288</v>
      </c>
      <c r="M4" s="18" t="s">
        <v>289</v>
      </c>
      <c r="N4" s="18" t="s">
        <v>290</v>
      </c>
      <c r="O4" s="18" t="s">
        <v>291</v>
      </c>
      <c r="P4" s="18" t="s">
        <v>292</v>
      </c>
      <c r="Q4" s="18" t="s">
        <v>293</v>
      </c>
      <c r="R4" s="18" t="s">
        <v>294</v>
      </c>
      <c r="S4" s="19" t="s">
        <v>360</v>
      </c>
    </row>
    <row r="5" spans="1:19">
      <c r="A5" s="8" t="s">
        <v>297</v>
      </c>
      <c r="B5" s="27">
        <v>269188</v>
      </c>
      <c r="C5" s="28">
        <v>387.07681487119584</v>
      </c>
      <c r="D5" s="28">
        <v>1.4480000000000011</v>
      </c>
      <c r="E5" s="28">
        <v>0</v>
      </c>
      <c r="F5" s="28">
        <v>5.4300000000000015</v>
      </c>
      <c r="G5" s="28">
        <v>0</v>
      </c>
      <c r="H5" s="28">
        <v>393.95481487119582</v>
      </c>
      <c r="I5" s="28">
        <v>125386</v>
      </c>
      <c r="J5" s="28">
        <v>0</v>
      </c>
      <c r="K5" s="28">
        <v>6500</v>
      </c>
      <c r="L5" s="28">
        <v>5361</v>
      </c>
      <c r="M5" s="28">
        <v>2336</v>
      </c>
      <c r="N5" s="28">
        <v>60811</v>
      </c>
      <c r="O5" s="28">
        <v>14074</v>
      </c>
      <c r="P5" s="28">
        <v>52630</v>
      </c>
      <c r="Q5" s="28">
        <v>2090</v>
      </c>
      <c r="R5" s="28">
        <v>269188</v>
      </c>
      <c r="S5" s="33">
        <v>0</v>
      </c>
    </row>
    <row r="6" spans="1:19">
      <c r="A6" s="10" t="s">
        <v>298</v>
      </c>
      <c r="B6" s="29">
        <v>2070687.5</v>
      </c>
      <c r="C6" s="30">
        <v>2444.64727345552</v>
      </c>
      <c r="D6" s="30">
        <v>422.16130000000004</v>
      </c>
      <c r="E6" s="30">
        <v>2.6</v>
      </c>
      <c r="F6" s="30">
        <v>492.5</v>
      </c>
      <c r="G6" s="30">
        <v>19</v>
      </c>
      <c r="H6" s="30">
        <v>3380.9085734555201</v>
      </c>
      <c r="I6" s="30">
        <v>802460</v>
      </c>
      <c r="J6" s="30">
        <v>75907</v>
      </c>
      <c r="K6" s="30">
        <v>111526</v>
      </c>
      <c r="L6" s="30">
        <v>380601</v>
      </c>
      <c r="M6" s="30">
        <v>26333</v>
      </c>
      <c r="N6" s="30">
        <v>411765</v>
      </c>
      <c r="O6" s="30">
        <v>85453</v>
      </c>
      <c r="P6" s="30">
        <v>45893</v>
      </c>
      <c r="Q6" s="30">
        <v>57685</v>
      </c>
      <c r="R6" s="30">
        <v>1997623</v>
      </c>
      <c r="S6" s="34">
        <v>0</v>
      </c>
    </row>
    <row r="7" spans="1:19">
      <c r="A7" s="10" t="s">
        <v>276</v>
      </c>
      <c r="B7" s="29">
        <v>2339875.5</v>
      </c>
      <c r="C7" s="30">
        <v>2831.7240883267159</v>
      </c>
      <c r="D7" s="30">
        <v>423.60930000000002</v>
      </c>
      <c r="E7" s="30">
        <v>2.6</v>
      </c>
      <c r="F7" s="30">
        <v>497.93</v>
      </c>
      <c r="G7" s="30">
        <v>19</v>
      </c>
      <c r="H7" s="30">
        <v>3774.8633883267157</v>
      </c>
      <c r="I7" s="30">
        <v>927846</v>
      </c>
      <c r="J7" s="30">
        <v>75907</v>
      </c>
      <c r="K7" s="30">
        <v>118026</v>
      </c>
      <c r="L7" s="30">
        <v>385962</v>
      </c>
      <c r="M7" s="30">
        <v>28669</v>
      </c>
      <c r="N7" s="30">
        <v>472576</v>
      </c>
      <c r="O7" s="30">
        <v>99527</v>
      </c>
      <c r="P7" s="30">
        <v>98523</v>
      </c>
      <c r="Q7" s="30">
        <v>59775</v>
      </c>
      <c r="R7" s="30">
        <v>2266811</v>
      </c>
      <c r="S7" s="34"/>
    </row>
    <row r="8" spans="1:19">
      <c r="A8" s="11" t="s">
        <v>277</v>
      </c>
      <c r="B8" s="31">
        <v>4679751</v>
      </c>
      <c r="C8" s="32">
        <v>5663.4481766534318</v>
      </c>
      <c r="D8" s="32">
        <v>847.21860000000004</v>
      </c>
      <c r="E8" s="32">
        <v>5.2</v>
      </c>
      <c r="F8" s="32">
        <v>995.86</v>
      </c>
      <c r="G8" s="32">
        <v>38</v>
      </c>
      <c r="H8" s="32">
        <v>7549.7267766534314</v>
      </c>
      <c r="I8" s="32">
        <v>1855692</v>
      </c>
      <c r="J8" s="32">
        <v>151814</v>
      </c>
      <c r="K8" s="32">
        <v>236052</v>
      </c>
      <c r="L8" s="32">
        <v>771924</v>
      </c>
      <c r="M8" s="32">
        <v>57338</v>
      </c>
      <c r="N8" s="32">
        <v>945152</v>
      </c>
      <c r="O8" s="32">
        <v>199054</v>
      </c>
      <c r="P8" s="32">
        <v>197046</v>
      </c>
      <c r="Q8" s="32">
        <v>119550</v>
      </c>
      <c r="R8" s="32">
        <v>4533622</v>
      </c>
      <c r="S8" s="35">
        <v>0</v>
      </c>
    </row>
    <row r="13" spans="1:19">
      <c r="A13" s="44" t="s">
        <v>296</v>
      </c>
      <c r="B13" s="44" t="s">
        <v>322</v>
      </c>
      <c r="C13" s="44" t="s">
        <v>301</v>
      </c>
      <c r="D13" s="44" t="s">
        <v>303</v>
      </c>
      <c r="E13" s="44" t="s">
        <v>304</v>
      </c>
      <c r="F13" s="44" t="s">
        <v>305</v>
      </c>
      <c r="G13" s="44" t="s">
        <v>306</v>
      </c>
      <c r="H13" s="44" t="s">
        <v>307</v>
      </c>
      <c r="I13" s="44" t="s">
        <v>302</v>
      </c>
      <c r="J13" s="44" t="s">
        <v>308</v>
      </c>
      <c r="K13" s="44" t="s">
        <v>309</v>
      </c>
      <c r="L13" s="44" t="s">
        <v>310</v>
      </c>
      <c r="M13" s="44" t="s">
        <v>311</v>
      </c>
      <c r="N13" s="44" t="s">
        <v>312</v>
      </c>
      <c r="O13" s="44" t="s">
        <v>313</v>
      </c>
      <c r="P13" s="44" t="s">
        <v>314</v>
      </c>
      <c r="Q13" s="44" t="s">
        <v>315</v>
      </c>
      <c r="R13" s="44" t="s">
        <v>316</v>
      </c>
    </row>
    <row r="14" spans="1:19">
      <c r="A14" s="44" t="s">
        <v>297</v>
      </c>
      <c r="B14" s="44">
        <v>269188</v>
      </c>
      <c r="C14" s="44">
        <v>387.07681487119584</v>
      </c>
      <c r="D14" s="44">
        <v>1.4480000000000011</v>
      </c>
      <c r="E14" s="44">
        <v>0</v>
      </c>
      <c r="F14" s="44">
        <v>5.4300000000000015</v>
      </c>
      <c r="G14" s="44">
        <v>0</v>
      </c>
      <c r="H14" s="44">
        <v>393.95481487119582</v>
      </c>
      <c r="I14" s="44">
        <v>125386</v>
      </c>
      <c r="J14" s="44">
        <v>0</v>
      </c>
      <c r="K14" s="44">
        <v>6500</v>
      </c>
      <c r="L14" s="44">
        <v>5361</v>
      </c>
      <c r="M14" s="44">
        <v>2336</v>
      </c>
      <c r="N14" s="44">
        <v>60811</v>
      </c>
      <c r="O14" s="44">
        <v>14074</v>
      </c>
      <c r="P14" s="44">
        <v>52630</v>
      </c>
      <c r="Q14" s="44">
        <v>2090</v>
      </c>
      <c r="R14" s="44">
        <v>269188</v>
      </c>
    </row>
    <row r="15" spans="1:19">
      <c r="A15" s="44" t="s">
        <v>298</v>
      </c>
      <c r="B15" s="44">
        <v>2070687.5</v>
      </c>
      <c r="C15" s="44">
        <v>2444.64727345552</v>
      </c>
      <c r="D15" s="44">
        <v>422.16130000000004</v>
      </c>
      <c r="E15" s="44">
        <v>2.6</v>
      </c>
      <c r="F15" s="44">
        <v>492.5</v>
      </c>
      <c r="G15" s="44">
        <v>19</v>
      </c>
      <c r="H15" s="44">
        <v>3380.9085734555201</v>
      </c>
      <c r="I15" s="44">
        <v>802460</v>
      </c>
      <c r="J15" s="44">
        <v>75907</v>
      </c>
      <c r="K15" s="44">
        <v>111526</v>
      </c>
      <c r="L15" s="44">
        <v>380601</v>
      </c>
      <c r="M15" s="44">
        <v>26333</v>
      </c>
      <c r="N15" s="44">
        <v>411765</v>
      </c>
      <c r="O15" s="44">
        <v>85453</v>
      </c>
      <c r="P15" s="44">
        <v>45893</v>
      </c>
      <c r="Q15" s="44">
        <v>57685</v>
      </c>
      <c r="R15" s="44">
        <v>1997623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9</vt:i4>
      </vt:variant>
    </vt:vector>
  </HeadingPairs>
  <TitlesOfParts>
    <vt:vector size="16" baseType="lpstr">
      <vt:lpstr> อ่างเก็บน้ำขนาดกลาง</vt:lpstr>
      <vt:lpstr>แหล่งน้ำธรรมชาติ</vt:lpstr>
      <vt:lpstr>ตารางที่3 (เปรียบเทียบข้าว)</vt:lpstr>
      <vt:lpstr>Tableรายจังหวัด-report</vt:lpstr>
      <vt:lpstr>ภาคCPY</vt:lpstr>
      <vt:lpstr>จังหวัดCPY19</vt:lpstr>
      <vt:lpstr>ภาคMK</vt:lpstr>
      <vt:lpstr>' อ่างเก็บน้ำขนาดกลาง'!Print_Area</vt:lpstr>
      <vt:lpstr>'Tableรายจังหวัด-report'!Print_Area</vt:lpstr>
      <vt:lpstr>จังหวัดCPY19!Print_Area</vt:lpstr>
      <vt:lpstr>'ตารางที่3 (เปรียบเทียบข้าว)'!Print_Area</vt:lpstr>
      <vt:lpstr>แหล่งน้ำธรรมชาติ!Print_Area</vt:lpstr>
      <vt:lpstr>' อ่างเก็บน้ำขนาดกลาง'!Print_Titles</vt:lpstr>
      <vt:lpstr>'Tableรายจังหวัด-report'!Print_Titles</vt:lpstr>
      <vt:lpstr>'ตารางที่3 (เปรียบเทียบข้าว)'!Print_Titles</vt:lpstr>
      <vt:lpstr>แหล่งน้ำธรรมชาติ!Print_Titles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TaeUser</dc:creator>
  <cp:lastModifiedBy>Thanasan</cp:lastModifiedBy>
  <cp:lastPrinted>2021-04-02T06:16:02Z</cp:lastPrinted>
  <dcterms:created xsi:type="dcterms:W3CDTF">2012-04-16T16:30:43Z</dcterms:created>
  <dcterms:modified xsi:type="dcterms:W3CDTF">2021-04-02T06:26:36Z</dcterms:modified>
</cp:coreProperties>
</file>